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480" yWindow="440" windowWidth="25120" windowHeight="136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" l="1"/>
  <c r="G27" i="1"/>
  <c r="H27" i="1"/>
  <c r="C27" i="1"/>
  <c r="D27" i="1"/>
  <c r="E27" i="1"/>
  <c r="F29" i="1"/>
  <c r="G29" i="1"/>
  <c r="H29" i="1"/>
  <c r="C29" i="1"/>
  <c r="D29" i="1"/>
  <c r="E29" i="1"/>
  <c r="F28" i="1"/>
  <c r="G28" i="1"/>
  <c r="H28" i="1"/>
  <c r="C28" i="1"/>
  <c r="D28" i="1"/>
  <c r="E28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E45" i="1"/>
  <c r="H43" i="1"/>
  <c r="C61" i="1"/>
  <c r="G60" i="1"/>
  <c r="F60" i="1"/>
  <c r="C66" i="1"/>
  <c r="H34" i="1"/>
  <c r="H35" i="1"/>
  <c r="H36" i="1"/>
  <c r="H37" i="1"/>
  <c r="H38" i="1"/>
  <c r="H39" i="1"/>
  <c r="H40" i="1"/>
  <c r="H41" i="1"/>
  <c r="H42" i="1"/>
  <c r="H45" i="1"/>
  <c r="H71" i="1"/>
  <c r="H65" i="1"/>
  <c r="H66" i="1"/>
  <c r="H67" i="1"/>
  <c r="H68" i="1"/>
  <c r="H69" i="1"/>
  <c r="H70" i="1"/>
  <c r="C88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H96" i="1"/>
  <c r="H21" i="1"/>
  <c r="H22" i="1"/>
  <c r="H23" i="1"/>
  <c r="C21" i="1"/>
  <c r="D21" i="1"/>
  <c r="E21" i="1"/>
  <c r="C22" i="1"/>
  <c r="D22" i="1"/>
  <c r="E22" i="1"/>
  <c r="E2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D88" i="1"/>
  <c r="E88" i="1"/>
  <c r="E89" i="1"/>
  <c r="E90" i="1"/>
  <c r="E91" i="1"/>
  <c r="E92" i="1"/>
  <c r="E93" i="1"/>
  <c r="E94" i="1"/>
  <c r="E95" i="1"/>
  <c r="E96" i="1"/>
  <c r="G31" i="1"/>
  <c r="F31" i="1"/>
  <c r="G30" i="1"/>
  <c r="F30" i="1"/>
  <c r="D26" i="1"/>
  <c r="C26" i="1"/>
  <c r="D25" i="1"/>
  <c r="C25" i="1"/>
  <c r="D69" i="1"/>
  <c r="D71" i="1"/>
  <c r="C71" i="1"/>
  <c r="C69" i="1"/>
  <c r="E69" i="1"/>
  <c r="C70" i="1"/>
  <c r="D70" i="1"/>
  <c r="E70" i="1"/>
  <c r="D68" i="1"/>
  <c r="C68" i="1"/>
  <c r="D67" i="1"/>
  <c r="C67" i="1"/>
  <c r="D66" i="1"/>
  <c r="D65" i="1"/>
  <c r="E65" i="1"/>
  <c r="E66" i="1"/>
  <c r="E67" i="1"/>
  <c r="E68" i="1"/>
  <c r="E71" i="1"/>
  <c r="D64" i="1"/>
  <c r="C64" i="1"/>
  <c r="D63" i="1"/>
  <c r="C63" i="1"/>
  <c r="D62" i="1"/>
  <c r="C62" i="1"/>
  <c r="D61" i="1"/>
  <c r="G59" i="1"/>
  <c r="F59" i="1"/>
  <c r="G58" i="1"/>
  <c r="F58" i="1"/>
  <c r="F57" i="1"/>
  <c r="G57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G18" i="1"/>
  <c r="F18" i="1"/>
  <c r="G17" i="1"/>
  <c r="F17" i="1"/>
  <c r="G16" i="1"/>
  <c r="F16" i="1"/>
  <c r="D47" i="1"/>
  <c r="C47" i="1"/>
  <c r="G15" i="1"/>
  <c r="F15" i="1"/>
  <c r="D14" i="1"/>
  <c r="C14" i="1"/>
  <c r="G11" i="1"/>
  <c r="F11" i="1"/>
  <c r="G10" i="1"/>
  <c r="F10" i="1"/>
  <c r="G9" i="1"/>
  <c r="F9" i="1"/>
  <c r="G8" i="1"/>
  <c r="F8" i="1"/>
  <c r="G7" i="1"/>
  <c r="F7" i="1"/>
  <c r="G6" i="1"/>
  <c r="F6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H72" i="1"/>
  <c r="E57" i="1"/>
  <c r="E72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H55" i="1"/>
  <c r="E47" i="1"/>
  <c r="E55" i="1"/>
  <c r="H31" i="1"/>
  <c r="E31" i="1"/>
  <c r="H30" i="1"/>
  <c r="E30" i="1"/>
  <c r="H26" i="1"/>
  <c r="E26" i="1"/>
  <c r="H25" i="1"/>
  <c r="H32" i="1"/>
  <c r="E25" i="1"/>
  <c r="E32" i="1"/>
  <c r="H18" i="1"/>
  <c r="E18" i="1"/>
  <c r="H17" i="1"/>
  <c r="E17" i="1"/>
  <c r="H16" i="1"/>
  <c r="E16" i="1"/>
  <c r="H15" i="1"/>
  <c r="E15" i="1"/>
  <c r="H14" i="1"/>
  <c r="H19" i="1"/>
  <c r="E14" i="1"/>
  <c r="E19" i="1"/>
  <c r="H11" i="1"/>
  <c r="E11" i="1"/>
  <c r="H10" i="1"/>
  <c r="E10" i="1"/>
  <c r="H9" i="1"/>
  <c r="E9" i="1"/>
  <c r="H8" i="1"/>
  <c r="E8" i="1"/>
  <c r="H7" i="1"/>
  <c r="E7" i="1"/>
  <c r="H6" i="1"/>
  <c r="H12" i="1"/>
  <c r="E6" i="1"/>
  <c r="E12" i="1"/>
  <c r="E97" i="1"/>
  <c r="H97" i="1"/>
  <c r="E98" i="1"/>
</calcChain>
</file>

<file path=xl/sharedStrings.xml><?xml version="1.0" encoding="utf-8"?>
<sst xmlns="http://schemas.openxmlformats.org/spreadsheetml/2006/main" count="103" uniqueCount="92">
  <si>
    <t>Activity/Item Description</t>
  </si>
  <si>
    <t>Cost ($USD)</t>
  </si>
  <si>
    <t>Quantity</t>
  </si>
  <si>
    <t>Total ($USD)</t>
  </si>
  <si>
    <t>Venue costs</t>
  </si>
  <si>
    <t>Subtotal</t>
  </si>
  <si>
    <t>Promotional Items</t>
  </si>
  <si>
    <r>
      <t xml:space="preserve">Meals &amp; Beverage </t>
    </r>
    <r>
      <rPr>
        <b/>
        <sz val="10"/>
        <rFont val="Calibri"/>
        <family val="2"/>
        <scheme val="minor"/>
      </rPr>
      <t>(relevant to activity)</t>
    </r>
  </si>
  <si>
    <r>
      <t>Speaker Fees</t>
    </r>
    <r>
      <rPr>
        <b/>
        <sz val="10"/>
        <rFont val="Calibri"/>
        <family val="2"/>
        <scheme val="minor"/>
      </rPr>
      <t xml:space="preserve"> (must not exceed $200/day)</t>
    </r>
  </si>
  <si>
    <t>Lodging &amp; Per Diem</t>
  </si>
  <si>
    <t xml:space="preserve">Travel </t>
  </si>
  <si>
    <t>Supplies, Materials, and Equipment</t>
  </si>
  <si>
    <t>Other (please specify)</t>
  </si>
  <si>
    <t xml:space="preserve"> Project Costs ($USD)</t>
  </si>
  <si>
    <t>Overall Total Project Costs</t>
  </si>
  <si>
    <t>Regional conference in the North - Ha Noi: Venue renting including sound equipments</t>
  </si>
  <si>
    <t>Regional conference in the South - Ho Chi Minh city: Venue renting including sound equipments</t>
  </si>
  <si>
    <t>Regional conference in the Centre - Da Nang city: Venue renting including sound equipement</t>
  </si>
  <si>
    <t>Mid-term evaluation in Hanoi: Venue renting including equipments</t>
  </si>
  <si>
    <t>Opening Ceremony - Press release in Hanoi: Venue renting including equipments</t>
  </si>
  <si>
    <t>Final evaulation &amp; 2nd phase meeting: Venue renting including sound equipement</t>
  </si>
  <si>
    <t>Documents, stationary, materials of office (month)</t>
  </si>
  <si>
    <t>Guide of library utilization in Braille &amp; flayers</t>
  </si>
  <si>
    <t>Opening Ceremony - Press release: Transport support for blind people ($7.84/p*30 persons*1 day)</t>
  </si>
  <si>
    <t>Opening Ceremony - Press release: Refreshment ($1.3/p*55 persons*1 day)</t>
  </si>
  <si>
    <t>Opening Ceremony - Press release: Documents of OPEN ROAD: bag folder; flayer; documents in Braille: ($1.55/p*55 persons*1 day)</t>
  </si>
  <si>
    <t>Domain: www.vietnamandfriends.org</t>
  </si>
  <si>
    <t>Hosting</t>
  </si>
  <si>
    <t>Regional conference in the North - Ha Noi: Transport support for blind people ($7.84/p*100 persons*1 day)</t>
  </si>
  <si>
    <t>Regional conference in the South - Ho Chi Minh city: Transport support for blind people ($7.84/p*75 persons*1 day)</t>
  </si>
  <si>
    <t>Regional conference in the Centre - Da Nang city:Transport support for blind people ($7.84/p*50 persons*1 day)</t>
  </si>
  <si>
    <t>Mid-term evaluation in Hanoi: Transport support for blind people ($7.8/p*40 persons*1 day)</t>
  </si>
  <si>
    <t>Final evaluation &amp; 2nd phase meeting: Transport support for blind people ($7.84/p*55 persons*1 day)</t>
  </si>
  <si>
    <t>Regional conference in the North - Ha Noi: Refreshment ($1.3/p*150 persons*1 day)</t>
  </si>
  <si>
    <t>Regional conference in the South - Ho Chi Minh city: Food allowance of coordinators ($11.25/day/p*2 persons*4days)</t>
  </si>
  <si>
    <t>Regional conference in the South - Ho Chi Minh city: Refreshment ($1.3/p*100 persons*1 day)</t>
  </si>
  <si>
    <t>Regional conference in the Centre - Da Nang city: Food allowance for coordinators ($11.25/day/p*2 persons*4days)</t>
  </si>
  <si>
    <t>Regional conference in the Centre - in Da Nang city: Refreshment ($1.3/p/day*75 persons)</t>
  </si>
  <si>
    <r>
      <t>Mid-term evaluation</t>
    </r>
    <r>
      <rPr>
        <sz val="12"/>
        <color theme="1"/>
        <rFont val="Calibri"/>
        <family val="2"/>
        <scheme val="minor"/>
      </rPr>
      <t>: Refreshment ($1.3/p*60 persons*1 day)</t>
    </r>
  </si>
  <si>
    <t>Final evaluation &amp; 2nd phase meeting: Refreshment ($1.3/p*80 persons*1 days)</t>
  </si>
  <si>
    <r>
      <t xml:space="preserve">Final evaluation &amp; 2nd phase meeting: </t>
    </r>
    <r>
      <rPr>
        <sz val="12"/>
        <color theme="1"/>
        <rFont val="Calibri"/>
        <family val="2"/>
        <scheme val="minor"/>
      </rPr>
      <t>Lunch ($10.45/meal*80 persons*1 meal)</t>
    </r>
  </si>
  <si>
    <t>Regional conference in the South - Ho Chi Minh city: Accommodation for coordinators ($32/night/room*2 rooms*4 night)</t>
  </si>
  <si>
    <t>Regional conference in the Centre - Da Nang city: Accommodation for coordinators ($32/night/room*2 room*4 nights)</t>
  </si>
  <si>
    <t>Computer &amp; UPS</t>
  </si>
  <si>
    <t>Hard driver for backing up</t>
  </si>
  <si>
    <t>Printer</t>
  </si>
  <si>
    <t>Recording software Cusbase</t>
  </si>
  <si>
    <t>Audio techinician allowance (month)</t>
  </si>
  <si>
    <t>Allowance of trainer for training of volunteers ($105/days * 4 days)</t>
  </si>
  <si>
    <t>Food allowance of voice training for volunteers ($10.45/meal * 4 days * 20 persons)</t>
  </si>
  <si>
    <t>Project manager allowance</t>
  </si>
  <si>
    <t>Coodinator allowance</t>
  </si>
  <si>
    <t xml:space="preserve">Room repairmen: Construction technical design </t>
  </si>
  <si>
    <t>Room repairmen: Isolate sound wall: 8 layers &amp; egg crate foam (acoustic foam for soundproofing)</t>
  </si>
  <si>
    <t>Room repairmen: Doors: two glass layers 6.38 - 9 - 5mm (0.9 x 2.34m)</t>
  </si>
  <si>
    <t>Room repairmen: Technical window: two glass layers 6.38 - 9 - 5mm (1 x 1.5m)</t>
  </si>
  <si>
    <t>Room repairmen: Celling light</t>
  </si>
  <si>
    <t>Room repairmen: Electricity extension with 5 plugs</t>
  </si>
  <si>
    <t>Furnitures: Table for 3 persons of recording</t>
  </si>
  <si>
    <t>Furnitures: Soft chair</t>
  </si>
  <si>
    <t>Furnitures: Table for technical staff</t>
  </si>
  <si>
    <t>Furnitures: Table light</t>
  </si>
  <si>
    <t>Furnitures: On-air light indicator</t>
  </si>
  <si>
    <t>Furnitures: Document storage board</t>
  </si>
  <si>
    <t>Furnitures: Exit light indicator</t>
  </si>
  <si>
    <t>Furnitures: Air condition (2 ways)</t>
  </si>
  <si>
    <t>Furnitures: Meeting table (2.4*1m)</t>
  </si>
  <si>
    <t>Furnitures: White board (1.2*2.2m)</t>
  </si>
  <si>
    <t>Furnitures: Chairs</t>
  </si>
  <si>
    <t>Furnitures: Glasses (box of 6 glasses) &amp; glass shelf</t>
  </si>
  <si>
    <t>Furnitures: Carpet of floor</t>
  </si>
  <si>
    <t>Furnitures: Vacuum cleaner</t>
  </si>
  <si>
    <t>Furnitures: Trash bins</t>
  </si>
  <si>
    <t>Studio equipment: Microphones (pair)</t>
  </si>
  <si>
    <t>Studio equipment: Pop filter On-stage stands</t>
  </si>
  <si>
    <t>Studio equipment: Microphone on-stage stands</t>
  </si>
  <si>
    <t>Studio equipment: Micro talkback</t>
  </si>
  <si>
    <t>Studio equipment: Headphone</t>
  </si>
  <si>
    <t>Studio equipment: Monitor speaker (pair)</t>
  </si>
  <si>
    <t>Studio equipment: Sound card</t>
  </si>
  <si>
    <t>Studio equipment: Audio cables</t>
  </si>
  <si>
    <t>Studio equipment: Reflexion filter</t>
  </si>
  <si>
    <t>Studio equipment: Headphone amplifier (4 channels)</t>
  </si>
  <si>
    <t>Studio equipment: Anti-humidity box</t>
  </si>
  <si>
    <t>Regional conference in the South - Ho Chi Minh city: Transportation for coordinators ($209/p/return flight*2 persons)</t>
  </si>
  <si>
    <t>Regional conference in the Centre - Da Nang city: Flight Transportation for coordinators ($163.5/p/return flight*2 persons)</t>
  </si>
  <si>
    <t>Audio recording course for studio technician ($41/day*22days)</t>
  </si>
  <si>
    <t>Allowance of speaker for the workshop How to make use of the Internet for 3 Regional conferences ($100/day*3days)</t>
  </si>
  <si>
    <t>Allowance of speaker for the workshop Raise awareness about the rights of the people with disability for 3 Regional conferences ($100/day*3days)</t>
  </si>
  <si>
    <t>Allowance of speaker for the workshop How to use the screen reading program for 3 Regional conferences ($100/day*3days)</t>
  </si>
  <si>
    <t>Fund requested</t>
  </si>
  <si>
    <t>Costshare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</si>
</sst>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  <numFmt numFmtId="166" formatCode="_([$$-409]* #,##0.00_);_([$$-409]* \(#,##0.00\);_([$$-409]* &quot;-&quot;??_);_(@_)"/>
    <numFmt numFmtId="167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5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0F5F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5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164" fontId="6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38">
    <xf numFmtId="0" fontId="0" fillId="0" borderId="0" xfId="0"/>
    <xf numFmtId="0" fontId="11" fillId="0" borderId="20" xfId="2" applyFont="1" applyBorder="1" applyAlignment="1" applyProtection="1">
      <alignment horizontal="left"/>
      <protection locked="0"/>
    </xf>
    <xf numFmtId="0" fontId="11" fillId="0" borderId="21" xfId="2" applyFont="1" applyBorder="1" applyAlignment="1" applyProtection="1">
      <alignment wrapText="1"/>
      <protection locked="0"/>
    </xf>
    <xf numFmtId="166" fontId="11" fillId="0" borderId="22" xfId="3" applyNumberFormat="1" applyFont="1" applyBorder="1" applyAlignment="1" applyProtection="1">
      <alignment wrapText="1"/>
      <protection locked="0"/>
    </xf>
    <xf numFmtId="0" fontId="11" fillId="0" borderId="23" xfId="2" applyFont="1" applyBorder="1" applyAlignment="1" applyProtection="1">
      <alignment horizontal="center" wrapText="1"/>
      <protection locked="0"/>
    </xf>
    <xf numFmtId="164" fontId="11" fillId="0" borderId="24" xfId="3" applyFont="1" applyBorder="1" applyAlignment="1" applyProtection="1">
      <alignment wrapText="1"/>
    </xf>
    <xf numFmtId="164" fontId="11" fillId="0" borderId="22" xfId="1" applyFont="1" applyBorder="1" applyAlignment="1" applyProtection="1">
      <alignment wrapText="1"/>
      <protection locked="0"/>
    </xf>
    <xf numFmtId="164" fontId="11" fillId="0" borderId="21" xfId="3" applyFont="1" applyBorder="1" applyAlignment="1" applyProtection="1">
      <alignment wrapText="1"/>
    </xf>
    <xf numFmtId="0" fontId="11" fillId="0" borderId="25" xfId="2" applyFont="1" applyBorder="1" applyAlignment="1" applyProtection="1">
      <alignment horizontal="left"/>
      <protection locked="0"/>
    </xf>
    <xf numFmtId="0" fontId="11" fillId="0" borderId="26" xfId="2" applyFont="1" applyBorder="1" applyAlignment="1" applyProtection="1">
      <alignment wrapText="1"/>
      <protection locked="0"/>
    </xf>
    <xf numFmtId="0" fontId="11" fillId="0" borderId="27" xfId="2" applyFont="1" applyBorder="1" applyAlignment="1" applyProtection="1">
      <alignment horizontal="left"/>
      <protection locked="0"/>
    </xf>
    <xf numFmtId="0" fontId="11" fillId="0" borderId="28" xfId="2" applyFont="1" applyBorder="1" applyAlignment="1" applyProtection="1">
      <alignment wrapText="1"/>
      <protection locked="0"/>
    </xf>
    <xf numFmtId="166" fontId="11" fillId="0" borderId="29" xfId="3" applyNumberFormat="1" applyFont="1" applyBorder="1" applyAlignment="1" applyProtection="1">
      <alignment wrapText="1"/>
      <protection locked="0"/>
    </xf>
    <xf numFmtId="0" fontId="11" fillId="0" borderId="30" xfId="2" applyFont="1" applyBorder="1" applyAlignment="1" applyProtection="1">
      <alignment horizontal="center" wrapText="1"/>
      <protection locked="0"/>
    </xf>
    <xf numFmtId="164" fontId="11" fillId="0" borderId="29" xfId="1" applyFont="1" applyBorder="1" applyAlignment="1" applyProtection="1">
      <alignment wrapText="1"/>
      <protection locked="0"/>
    </xf>
    <xf numFmtId="0" fontId="10" fillId="0" borderId="31" xfId="2" applyFont="1" applyBorder="1" applyAlignment="1" applyProtection="1">
      <alignment horizontal="left"/>
    </xf>
    <xf numFmtId="0" fontId="10" fillId="0" borderId="7" xfId="2" applyFont="1" applyBorder="1" applyAlignment="1" applyProtection="1">
      <alignment horizontal="right" wrapText="1"/>
    </xf>
    <xf numFmtId="2" fontId="10" fillId="0" borderId="32" xfId="2" applyNumberFormat="1" applyFont="1" applyBorder="1" applyAlignment="1" applyProtection="1">
      <alignment wrapText="1"/>
    </xf>
    <xf numFmtId="0" fontId="10" fillId="0" borderId="33" xfId="2" applyFont="1" applyBorder="1" applyAlignment="1" applyProtection="1">
      <alignment horizontal="center" wrapText="1"/>
    </xf>
    <xf numFmtId="164" fontId="10" fillId="0" borderId="6" xfId="3" applyFont="1" applyBorder="1" applyAlignment="1" applyProtection="1">
      <alignment wrapText="1"/>
    </xf>
    <xf numFmtId="164" fontId="10" fillId="0" borderId="34" xfId="3" applyFont="1" applyBorder="1" applyAlignment="1" applyProtection="1">
      <alignment wrapText="1"/>
    </xf>
    <xf numFmtId="2" fontId="10" fillId="0" borderId="35" xfId="2" applyNumberFormat="1" applyFont="1" applyBorder="1" applyAlignment="1" applyProtection="1">
      <alignment horizontal="left"/>
    </xf>
    <xf numFmtId="0" fontId="10" fillId="0" borderId="34" xfId="2" applyFont="1" applyBorder="1" applyAlignment="1" applyProtection="1">
      <alignment horizontal="right" wrapText="1"/>
    </xf>
    <xf numFmtId="0" fontId="10" fillId="0" borderId="36" xfId="2" applyFont="1" applyBorder="1" applyAlignment="1" applyProtection="1">
      <alignment wrapText="1"/>
    </xf>
    <xf numFmtId="0" fontId="10" fillId="0" borderId="32" xfId="2" applyFont="1" applyBorder="1" applyAlignment="1" applyProtection="1">
      <alignment wrapText="1"/>
    </xf>
    <xf numFmtId="167" fontId="11" fillId="0" borderId="25" xfId="2" applyNumberFormat="1" applyFont="1" applyFill="1" applyBorder="1" applyAlignment="1" applyProtection="1">
      <alignment horizontal="left"/>
      <protection locked="0"/>
    </xf>
    <xf numFmtId="164" fontId="11" fillId="0" borderId="22" xfId="1" applyFont="1" applyFill="1" applyBorder="1" applyAlignment="1" applyProtection="1">
      <alignment wrapText="1"/>
      <protection locked="0"/>
    </xf>
    <xf numFmtId="0" fontId="11" fillId="0" borderId="23" xfId="2" applyFont="1" applyFill="1" applyBorder="1" applyAlignment="1" applyProtection="1">
      <alignment horizontal="center" wrapText="1"/>
      <protection locked="0"/>
    </xf>
    <xf numFmtId="0" fontId="10" fillId="0" borderId="31" xfId="2" applyFont="1" applyBorder="1" applyAlignment="1" applyProtection="1">
      <alignment horizontal="left"/>
      <protection locked="0"/>
    </xf>
    <xf numFmtId="0" fontId="10" fillId="0" borderId="8" xfId="2" applyFont="1" applyBorder="1" applyAlignment="1" applyProtection="1">
      <alignment horizontal="right" wrapText="1"/>
      <protection locked="0"/>
    </xf>
    <xf numFmtId="0" fontId="10" fillId="0" borderId="32" xfId="2" applyFont="1" applyBorder="1" applyAlignment="1" applyProtection="1">
      <alignment wrapText="1"/>
      <protection locked="0"/>
    </xf>
    <xf numFmtId="0" fontId="10" fillId="0" borderId="33" xfId="2" applyFont="1" applyBorder="1" applyAlignment="1" applyProtection="1">
      <alignment horizontal="center" wrapText="1"/>
      <protection locked="0"/>
    </xf>
    <xf numFmtId="0" fontId="11" fillId="0" borderId="25" xfId="2" applyFont="1" applyFill="1" applyBorder="1" applyAlignment="1" applyProtection="1">
      <alignment horizontal="left"/>
      <protection locked="0"/>
    </xf>
    <xf numFmtId="0" fontId="11" fillId="0" borderId="21" xfId="0" applyFont="1" applyBorder="1" applyAlignment="1" applyProtection="1">
      <alignment wrapText="1"/>
      <protection locked="0"/>
    </xf>
    <xf numFmtId="166" fontId="11" fillId="0" borderId="39" xfId="2" applyNumberFormat="1" applyFont="1" applyFill="1" applyBorder="1" applyAlignment="1" applyProtection="1">
      <alignment wrapText="1"/>
      <protection locked="0"/>
    </xf>
    <xf numFmtId="164" fontId="10" fillId="0" borderId="22" xfId="1" applyFont="1" applyFill="1" applyBorder="1" applyAlignment="1" applyProtection="1">
      <alignment wrapText="1"/>
      <protection locked="0"/>
    </xf>
    <xf numFmtId="0" fontId="10" fillId="0" borderId="23" xfId="2" applyFont="1" applyFill="1" applyBorder="1" applyAlignment="1" applyProtection="1">
      <alignment horizontal="center" wrapText="1"/>
      <protection locked="0"/>
    </xf>
    <xf numFmtId="0" fontId="10" fillId="0" borderId="40" xfId="2" applyFont="1" applyBorder="1" applyAlignment="1" applyProtection="1">
      <alignment horizontal="center" wrapText="1"/>
    </xf>
    <xf numFmtId="164" fontId="11" fillId="0" borderId="39" xfId="1" applyFont="1" applyBorder="1" applyAlignment="1" applyProtection="1">
      <alignment wrapText="1"/>
      <protection locked="0"/>
    </xf>
    <xf numFmtId="0" fontId="11" fillId="0" borderId="21" xfId="0" applyFont="1" applyBorder="1" applyAlignment="1" applyProtection="1">
      <alignment horizontal="left" wrapText="1"/>
      <protection locked="0"/>
    </xf>
    <xf numFmtId="0" fontId="10" fillId="0" borderId="8" xfId="2" applyFont="1" applyBorder="1" applyAlignment="1" applyProtection="1">
      <alignment horizontal="right" wrapText="1"/>
    </xf>
    <xf numFmtId="0" fontId="11" fillId="0" borderId="21" xfId="0" applyFont="1" applyBorder="1" applyAlignment="1" applyProtection="1">
      <alignment vertical="center" wrapText="1"/>
      <protection locked="0"/>
    </xf>
    <xf numFmtId="164" fontId="11" fillId="0" borderId="39" xfId="1" applyFont="1" applyBorder="1" applyAlignment="1" applyProtection="1">
      <alignment horizontal="right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164" fontId="11" fillId="4" borderId="22" xfId="1" applyFont="1" applyFill="1" applyBorder="1" applyAlignment="1" applyProtection="1">
      <alignment wrapText="1"/>
      <protection locked="0"/>
    </xf>
    <xf numFmtId="0" fontId="11" fillId="0" borderId="41" xfId="2" applyFont="1" applyBorder="1" applyAlignment="1" applyProtection="1">
      <alignment horizontal="left"/>
      <protection locked="0"/>
    </xf>
    <xf numFmtId="164" fontId="11" fillId="4" borderId="29" xfId="1" applyFont="1" applyFill="1" applyBorder="1" applyAlignment="1" applyProtection="1">
      <alignment wrapText="1"/>
      <protection locked="0"/>
    </xf>
    <xf numFmtId="0" fontId="10" fillId="0" borderId="27" xfId="2" applyFont="1" applyBorder="1" applyAlignment="1" applyProtection="1">
      <alignment horizontal="left"/>
    </xf>
    <xf numFmtId="0" fontId="10" fillId="0" borderId="29" xfId="2" applyFont="1" applyBorder="1" applyAlignment="1" applyProtection="1">
      <alignment wrapText="1"/>
    </xf>
    <xf numFmtId="0" fontId="10" fillId="0" borderId="30" xfId="2" applyFont="1" applyBorder="1" applyAlignment="1" applyProtection="1">
      <alignment horizontal="center" wrapText="1"/>
    </xf>
    <xf numFmtId="0" fontId="8" fillId="3" borderId="44" xfId="2" applyFont="1" applyFill="1" applyBorder="1" applyAlignment="1" applyProtection="1">
      <alignment horizontal="center" wrapText="1"/>
    </xf>
    <xf numFmtId="0" fontId="8" fillId="3" borderId="45" xfId="2" applyFont="1" applyFill="1" applyBorder="1" applyAlignment="1" applyProtection="1">
      <alignment horizontal="center" wrapText="1"/>
    </xf>
    <xf numFmtId="165" fontId="8" fillId="3" borderId="47" xfId="2" applyNumberFormat="1" applyFont="1" applyFill="1" applyBorder="1" applyAlignment="1" applyProtection="1">
      <alignment horizontal="right" wrapText="1"/>
    </xf>
    <xf numFmtId="0" fontId="8" fillId="5" borderId="44" xfId="2" applyFont="1" applyFill="1" applyBorder="1" applyAlignment="1" applyProtection="1">
      <alignment wrapText="1"/>
    </xf>
    <xf numFmtId="0" fontId="8" fillId="5" borderId="45" xfId="2" applyFont="1" applyFill="1" applyBorder="1" applyAlignment="1" applyProtection="1">
      <alignment horizontal="center" wrapText="1"/>
    </xf>
    <xf numFmtId="164" fontId="8" fillId="5" borderId="46" xfId="3" applyFont="1" applyFill="1" applyBorder="1" applyAlignment="1" applyProtection="1">
      <alignment horizontal="right" wrapText="1"/>
    </xf>
    <xf numFmtId="0" fontId="10" fillId="6" borderId="16" xfId="2" applyFont="1" applyFill="1" applyBorder="1" applyAlignment="1" applyProtection="1">
      <alignment horizontal="left"/>
    </xf>
    <xf numFmtId="0" fontId="10" fillId="6" borderId="17" xfId="2" applyFont="1" applyFill="1" applyBorder="1" applyAlignment="1" applyProtection="1">
      <alignment wrapText="1"/>
    </xf>
    <xf numFmtId="1" fontId="10" fillId="6" borderId="25" xfId="2" applyNumberFormat="1" applyFont="1" applyFill="1" applyBorder="1" applyAlignment="1" applyProtection="1">
      <alignment horizontal="left"/>
    </xf>
    <xf numFmtId="0" fontId="10" fillId="6" borderId="26" xfId="2" applyFont="1" applyFill="1" applyBorder="1" applyAlignment="1" applyProtection="1">
      <alignment wrapText="1"/>
    </xf>
    <xf numFmtId="0" fontId="10" fillId="6" borderId="21" xfId="2" applyFont="1" applyFill="1" applyBorder="1" applyAlignment="1" applyProtection="1">
      <alignment horizontal="left" wrapText="1"/>
    </xf>
    <xf numFmtId="0" fontId="10" fillId="6" borderId="25" xfId="2" applyFont="1" applyFill="1" applyBorder="1" applyAlignment="1" applyProtection="1">
      <alignment horizontal="left"/>
    </xf>
    <xf numFmtId="0" fontId="10" fillId="6" borderId="25" xfId="2" applyFont="1" applyFill="1" applyBorder="1" applyAlignment="1" applyProtection="1">
      <alignment horizontal="left"/>
      <protection locked="0"/>
    </xf>
    <xf numFmtId="0" fontId="10" fillId="6" borderId="21" xfId="2" applyFont="1" applyFill="1" applyBorder="1" applyAlignment="1" applyProtection="1">
      <alignment wrapText="1"/>
    </xf>
    <xf numFmtId="0" fontId="11" fillId="0" borderId="26" xfId="0" applyFont="1" applyBorder="1" applyAlignment="1" applyProtection="1">
      <alignment wrapText="1"/>
      <protection locked="0"/>
    </xf>
    <xf numFmtId="49" fontId="11" fillId="4" borderId="21" xfId="0" applyNumberFormat="1" applyFont="1" applyFill="1" applyBorder="1" applyAlignment="1">
      <alignment vertical="center" wrapText="1"/>
    </xf>
    <xf numFmtId="49" fontId="11" fillId="4" borderId="30" xfId="0" applyNumberFormat="1" applyFont="1" applyFill="1" applyBorder="1" applyAlignment="1">
      <alignment vertical="center" wrapText="1"/>
    </xf>
    <xf numFmtId="49" fontId="2" fillId="4" borderId="30" xfId="0" applyNumberFormat="1" applyFont="1" applyFill="1" applyBorder="1" applyAlignment="1">
      <alignment vertical="center" wrapText="1"/>
    </xf>
    <xf numFmtId="0" fontId="11" fillId="0" borderId="26" xfId="2" applyFont="1" applyFill="1" applyBorder="1" applyAlignment="1" applyProtection="1">
      <alignment wrapText="1"/>
      <protection locked="0"/>
    </xf>
    <xf numFmtId="49" fontId="11" fillId="8" borderId="30" xfId="0" applyNumberFormat="1" applyFont="1" applyFill="1" applyBorder="1" applyAlignment="1">
      <alignment vertical="center" wrapText="1"/>
    </xf>
    <xf numFmtId="49" fontId="11" fillId="4" borderId="48" xfId="0" applyNumberFormat="1" applyFont="1" applyFill="1" applyBorder="1" applyAlignment="1">
      <alignment vertical="center" wrapText="1"/>
    </xf>
    <xf numFmtId="0" fontId="2" fillId="4" borderId="23" xfId="0" applyNumberFormat="1" applyFont="1" applyFill="1" applyBorder="1" applyAlignment="1">
      <alignment vertical="top" wrapText="1"/>
    </xf>
    <xf numFmtId="2" fontId="11" fillId="0" borderId="41" xfId="2" applyNumberFormat="1" applyFont="1" applyBorder="1" applyAlignment="1" applyProtection="1">
      <alignment horizontal="left"/>
      <protection locked="0"/>
    </xf>
    <xf numFmtId="0" fontId="11" fillId="0" borderId="49" xfId="2" applyFont="1" applyBorder="1" applyAlignment="1" applyProtection="1">
      <alignment wrapText="1"/>
      <protection locked="0"/>
    </xf>
    <xf numFmtId="0" fontId="11" fillId="0" borderId="21" xfId="2" applyFont="1" applyFill="1" applyBorder="1" applyAlignment="1" applyProtection="1">
      <protection locked="0"/>
    </xf>
    <xf numFmtId="0" fontId="11" fillId="0" borderId="21" xfId="0" applyFont="1" applyBorder="1" applyProtection="1">
      <protection locked="0"/>
    </xf>
    <xf numFmtId="0" fontId="11" fillId="0" borderId="38" xfId="2" applyFont="1" applyFill="1" applyBorder="1" applyAlignment="1" applyProtection="1">
      <protection locked="0"/>
    </xf>
    <xf numFmtId="164" fontId="11" fillId="0" borderId="29" xfId="1" applyFont="1" applyFill="1" applyBorder="1" applyAlignment="1" applyProtection="1">
      <alignment wrapText="1"/>
      <protection locked="0"/>
    </xf>
    <xf numFmtId="0" fontId="11" fillId="0" borderId="30" xfId="2" applyFont="1" applyFill="1" applyBorder="1" applyAlignment="1" applyProtection="1">
      <alignment horizontal="center" wrapText="1"/>
      <protection locked="0"/>
    </xf>
    <xf numFmtId="164" fontId="11" fillId="0" borderId="48" xfId="3" applyFont="1" applyBorder="1" applyAlignment="1" applyProtection="1">
      <alignment wrapText="1"/>
    </xf>
    <xf numFmtId="49" fontId="11" fillId="4" borderId="50" xfId="0" applyNumberFormat="1" applyFont="1" applyFill="1" applyBorder="1" applyAlignment="1">
      <alignment vertical="center" wrapText="1"/>
    </xf>
    <xf numFmtId="2" fontId="11" fillId="0" borderId="27" xfId="2" applyNumberFormat="1" applyFont="1" applyFill="1" applyBorder="1" applyAlignment="1" applyProtection="1">
      <alignment horizontal="left"/>
      <protection locked="0"/>
    </xf>
    <xf numFmtId="0" fontId="11" fillId="4" borderId="21" xfId="0" applyNumberFormat="1" applyFont="1" applyFill="1" applyBorder="1" applyAlignment="1">
      <alignment vertical="top" wrapText="1"/>
    </xf>
    <xf numFmtId="2" fontId="11" fillId="0" borderId="27" xfId="2" applyNumberFormat="1" applyFont="1" applyBorder="1" applyAlignment="1" applyProtection="1">
      <alignment horizontal="left"/>
      <protection locked="0"/>
    </xf>
    <xf numFmtId="2" fontId="11" fillId="0" borderId="41" xfId="2" quotePrefix="1" applyNumberFormat="1" applyFont="1" applyBorder="1" applyAlignment="1" applyProtection="1">
      <alignment horizontal="left"/>
      <protection locked="0"/>
    </xf>
    <xf numFmtId="0" fontId="11" fillId="0" borderId="21" xfId="2" applyFont="1" applyFill="1" applyBorder="1" applyAlignment="1" applyProtection="1">
      <alignment wrapText="1"/>
      <protection locked="0"/>
    </xf>
    <xf numFmtId="2" fontId="11" fillId="0" borderId="25" xfId="2" applyNumberFormat="1" applyFont="1" applyFill="1" applyBorder="1" applyAlignment="1" applyProtection="1">
      <alignment horizontal="left"/>
      <protection locked="0"/>
    </xf>
    <xf numFmtId="43" fontId="0" fillId="0" borderId="0" xfId="0" applyNumberFormat="1"/>
    <xf numFmtId="0" fontId="10" fillId="6" borderId="37" xfId="2" applyFont="1" applyFill="1" applyBorder="1" applyAlignment="1" applyProtection="1">
      <alignment wrapText="1"/>
    </xf>
    <xf numFmtId="0" fontId="11" fillId="6" borderId="26" xfId="0" applyFont="1" applyFill="1" applyBorder="1" applyAlignment="1" applyProtection="1">
      <alignment wrapText="1"/>
    </xf>
    <xf numFmtId="0" fontId="11" fillId="6" borderId="38" xfId="0" applyFont="1" applyFill="1" applyBorder="1" applyAlignment="1" applyProtection="1">
      <alignment wrapText="1"/>
    </xf>
    <xf numFmtId="0" fontId="12" fillId="7" borderId="13" xfId="2" applyFont="1" applyFill="1" applyBorder="1" applyAlignment="1" applyProtection="1">
      <alignment horizontal="center"/>
    </xf>
    <xf numFmtId="0" fontId="12" fillId="7" borderId="12" xfId="2" applyFont="1" applyFill="1" applyBorder="1" applyAlignment="1" applyProtection="1">
      <alignment horizontal="center"/>
    </xf>
    <xf numFmtId="0" fontId="12" fillId="7" borderId="15" xfId="2" applyFont="1" applyFill="1" applyBorder="1" applyAlignment="1" applyProtection="1">
      <alignment horizontal="center"/>
    </xf>
    <xf numFmtId="164" fontId="12" fillId="7" borderId="13" xfId="0" applyNumberFormat="1" applyFont="1" applyFill="1" applyBorder="1" applyAlignment="1" applyProtection="1">
      <alignment horizontal="right"/>
    </xf>
    <xf numFmtId="0" fontId="12" fillId="7" borderId="12" xfId="0" applyFont="1" applyFill="1" applyBorder="1" applyAlignment="1" applyProtection="1">
      <alignment horizontal="right"/>
    </xf>
    <xf numFmtId="0" fontId="12" fillId="7" borderId="14" xfId="0" applyFont="1" applyFill="1" applyBorder="1" applyAlignment="1" applyProtection="1">
      <alignment horizontal="right"/>
    </xf>
    <xf numFmtId="0" fontId="10" fillId="6" borderId="26" xfId="2" applyFont="1" applyFill="1" applyBorder="1" applyAlignment="1" applyProtection="1">
      <alignment wrapText="1"/>
      <protection locked="0"/>
    </xf>
    <xf numFmtId="0" fontId="11" fillId="6" borderId="26" xfId="0" applyFont="1" applyFill="1" applyBorder="1" applyAlignment="1" applyProtection="1">
      <alignment wrapText="1"/>
      <protection locked="0"/>
    </xf>
    <xf numFmtId="0" fontId="10" fillId="6" borderId="37" xfId="2" applyFont="1" applyFill="1" applyBorder="1" applyAlignment="1" applyProtection="1">
      <alignment wrapText="1"/>
      <protection locked="0"/>
    </xf>
    <xf numFmtId="0" fontId="11" fillId="6" borderId="38" xfId="0" applyFont="1" applyFill="1" applyBorder="1" applyAlignment="1" applyProtection="1">
      <alignment wrapText="1"/>
      <protection locked="0"/>
    </xf>
    <xf numFmtId="0" fontId="10" fillId="6" borderId="5" xfId="2" applyFont="1" applyFill="1" applyBorder="1" applyAlignment="1" applyProtection="1">
      <alignment wrapText="1"/>
    </xf>
    <xf numFmtId="0" fontId="11" fillId="6" borderId="18" xfId="0" applyFont="1" applyFill="1" applyBorder="1" applyAlignment="1" applyProtection="1">
      <alignment wrapText="1"/>
    </xf>
    <xf numFmtId="0" fontId="11" fillId="6" borderId="19" xfId="0" applyFont="1" applyFill="1" applyBorder="1" applyAlignment="1" applyProtection="1">
      <alignment wrapText="1"/>
    </xf>
    <xf numFmtId="0" fontId="10" fillId="6" borderId="26" xfId="2" applyFont="1" applyFill="1" applyBorder="1" applyAlignment="1" applyProtection="1">
      <alignment wrapText="1"/>
    </xf>
    <xf numFmtId="0" fontId="4" fillId="6" borderId="42" xfId="2" applyFont="1" applyFill="1" applyBorder="1" applyAlignment="1" applyProtection="1">
      <alignment horizontal="right" wrapText="1"/>
    </xf>
    <xf numFmtId="0" fontId="5" fillId="6" borderId="43" xfId="0" applyFont="1" applyFill="1" applyBorder="1" applyAlignment="1" applyProtection="1">
      <alignment horizontal="right"/>
    </xf>
    <xf numFmtId="0" fontId="10" fillId="6" borderId="10" xfId="2" applyFont="1" applyFill="1" applyBorder="1" applyAlignment="1" applyProtection="1">
      <alignment horizontal="center" wrapText="1"/>
    </xf>
    <xf numFmtId="0" fontId="10" fillId="6" borderId="9" xfId="2" applyFont="1" applyFill="1" applyBorder="1" applyAlignment="1" applyProtection="1">
      <alignment horizontal="center" wrapText="1"/>
    </xf>
    <xf numFmtId="0" fontId="10" fillId="6" borderId="5" xfId="2" applyFont="1" applyFill="1" applyBorder="1" applyAlignment="1" applyProtection="1">
      <alignment horizontal="center" wrapText="1"/>
    </xf>
    <xf numFmtId="0" fontId="10" fillId="6" borderId="18" xfId="2" applyFont="1" applyFill="1" applyBorder="1" applyAlignment="1" applyProtection="1">
      <alignment horizontal="center" wrapText="1"/>
    </xf>
    <xf numFmtId="0" fontId="10" fillId="6" borderId="19" xfId="2" applyFont="1" applyFill="1" applyBorder="1" applyAlignment="1" applyProtection="1">
      <alignment horizontal="center" wrapText="1"/>
    </xf>
    <xf numFmtId="0" fontId="16" fillId="4" borderId="1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0" fillId="4" borderId="0" xfId="0" applyFill="1"/>
    <xf numFmtId="0" fontId="4" fillId="4" borderId="0" xfId="0" applyFont="1" applyFill="1" applyBorder="1" applyAlignment="1" applyProtection="1">
      <alignment horizontal="center" wrapText="1"/>
    </xf>
    <xf numFmtId="0" fontId="4" fillId="4" borderId="51" xfId="0" applyFont="1" applyFill="1" applyBorder="1" applyAlignment="1" applyProtection="1">
      <alignment horizontal="center" wrapText="1"/>
    </xf>
    <xf numFmtId="0" fontId="4" fillId="4" borderId="4" xfId="0" applyFont="1" applyFill="1" applyBorder="1" applyAlignment="1" applyProtection="1">
      <alignment horizontal="center" wrapText="1"/>
    </xf>
    <xf numFmtId="0" fontId="10" fillId="6" borderId="10" xfId="2" applyFont="1" applyFill="1" applyBorder="1" applyAlignment="1" applyProtection="1">
      <alignment wrapText="1"/>
    </xf>
    <xf numFmtId="0" fontId="10" fillId="6" borderId="9" xfId="2" applyFont="1" applyFill="1" applyBorder="1" applyAlignment="1" applyProtection="1">
      <alignment wrapText="1"/>
    </xf>
    <xf numFmtId="0" fontId="10" fillId="6" borderId="11" xfId="2" applyFont="1" applyFill="1" applyBorder="1" applyAlignment="1" applyProtection="1">
      <alignment wrapText="1"/>
    </xf>
    <xf numFmtId="0" fontId="9" fillId="3" borderId="53" xfId="2" applyFont="1" applyFill="1" applyBorder="1" applyAlignment="1" applyProtection="1">
      <alignment horizontal="center" wrapText="1"/>
    </xf>
    <xf numFmtId="0" fontId="9" fillId="3" borderId="54" xfId="2" applyFont="1" applyFill="1" applyBorder="1" applyAlignment="1" applyProtection="1">
      <alignment horizontal="center" wrapText="1"/>
    </xf>
    <xf numFmtId="164" fontId="9" fillId="3" borderId="55" xfId="3" applyFont="1" applyFill="1" applyBorder="1" applyAlignment="1" applyProtection="1">
      <alignment horizontal="center" wrapText="1"/>
    </xf>
    <xf numFmtId="0" fontId="9" fillId="5" borderId="52" xfId="2" applyFont="1" applyFill="1" applyBorder="1" applyAlignment="1" applyProtection="1">
      <alignment horizontal="center" wrapText="1"/>
    </xf>
    <xf numFmtId="164" fontId="9" fillId="5" borderId="56" xfId="3" applyFont="1" applyFill="1" applyBorder="1" applyAlignment="1" applyProtection="1">
      <alignment horizontal="center" wrapText="1"/>
    </xf>
    <xf numFmtId="0" fontId="9" fillId="5" borderId="58" xfId="2" applyFont="1" applyFill="1" applyBorder="1" applyAlignment="1" applyProtection="1">
      <alignment horizontal="center" wrapText="1"/>
    </xf>
    <xf numFmtId="0" fontId="4" fillId="2" borderId="59" xfId="2" applyFont="1" applyFill="1" applyBorder="1" applyAlignment="1" applyProtection="1">
      <alignment horizontal="center" vertical="center" wrapText="1"/>
    </xf>
    <xf numFmtId="0" fontId="4" fillId="2" borderId="60" xfId="2" applyFont="1" applyFill="1" applyBorder="1" applyAlignment="1" applyProtection="1">
      <alignment horizontal="center" vertical="center" wrapText="1"/>
    </xf>
    <xf numFmtId="0" fontId="4" fillId="2" borderId="32" xfId="2" applyFont="1" applyFill="1" applyBorder="1" applyAlignment="1" applyProtection="1">
      <alignment horizontal="center" vertical="center" wrapText="1"/>
    </xf>
    <xf numFmtId="0" fontId="4" fillId="2" borderId="34" xfId="2" applyFont="1" applyFill="1" applyBorder="1" applyAlignment="1" applyProtection="1">
      <alignment horizontal="center" vertical="center" wrapText="1"/>
    </xf>
    <xf numFmtId="0" fontId="8" fillId="5" borderId="57" xfId="0" applyFont="1" applyFill="1" applyBorder="1" applyAlignment="1" applyProtection="1">
      <alignment horizontal="center" vertical="center" wrapText="1"/>
    </xf>
    <xf numFmtId="0" fontId="8" fillId="5" borderId="54" xfId="0" applyFont="1" applyFill="1" applyBorder="1" applyAlignment="1" applyProtection="1">
      <alignment horizontal="center" vertical="center" wrapText="1"/>
    </xf>
    <xf numFmtId="0" fontId="8" fillId="5" borderId="55" xfId="0" applyFont="1" applyFill="1" applyBorder="1" applyAlignment="1" applyProtection="1">
      <alignment horizontal="center" vertical="center" wrapText="1"/>
    </xf>
    <xf numFmtId="0" fontId="8" fillId="3" borderId="53" xfId="0" applyFont="1" applyFill="1" applyBorder="1" applyAlignment="1" applyProtection="1">
      <alignment horizontal="center" vertical="center" wrapText="1"/>
    </xf>
    <xf numFmtId="0" fontId="8" fillId="3" borderId="54" xfId="0" applyFont="1" applyFill="1" applyBorder="1" applyAlignment="1" applyProtection="1">
      <alignment horizontal="center" vertical="center" wrapText="1"/>
    </xf>
    <xf numFmtId="0" fontId="8" fillId="3" borderId="55" xfId="0" applyFont="1" applyFill="1" applyBorder="1" applyAlignment="1" applyProtection="1">
      <alignment horizontal="center" vertical="center" wrapText="1"/>
    </xf>
  </cellXfs>
  <cellStyles count="50">
    <cellStyle name="Currency" xfId="1" builtinId="4"/>
    <cellStyle name="Currency 2" xf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901700</xdr:colOff>
      <xdr:row>0</xdr:row>
      <xdr:rowOff>304800</xdr:rowOff>
    </xdr:from>
    <xdr:to>
      <xdr:col>4</xdr:col>
      <xdr:colOff>254500</xdr:colOff>
      <xdr:row>1</xdr:row>
      <xdr:rowOff>140200</xdr:rowOff>
    </xdr:to>
    <xdr:pic>
      <xdr:nvPicPr>
        <xdr:cNvPr id="2" name="Picture 1" descr="VA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6900" y="30480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2806701</xdr:colOff>
      <xdr:row>1</xdr:row>
      <xdr:rowOff>152400</xdr:rowOff>
    </xdr:from>
    <xdr:to>
      <xdr:col>5</xdr:col>
      <xdr:colOff>236338</xdr:colOff>
      <xdr:row>1</xdr:row>
      <xdr:rowOff>1592400</xdr:rowOff>
    </xdr:to>
    <xdr:pic>
      <xdr:nvPicPr>
        <xdr:cNvPr id="3" name="Picture 2" descr="Open Road Logo-0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3101" y="1397000"/>
          <a:ext cx="3512937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showGridLines="0" tabSelected="1" topLeftCell="A88" workbookViewId="0">
      <selection activeCell="G107" sqref="G107"/>
    </sheetView>
  </sheetViews>
  <sheetFormatPr baseColWidth="10" defaultColWidth="8.83203125" defaultRowHeight="14" x14ac:dyDescent="0"/>
  <cols>
    <col min="1" max="1" width="5.33203125" customWidth="1"/>
    <col min="2" max="2" width="40.6640625" customWidth="1"/>
    <col min="3" max="3" width="12.83203125" customWidth="1"/>
    <col min="4" max="4" width="9.83203125" customWidth="1"/>
    <col min="5" max="5" width="16.5" customWidth="1"/>
    <col min="6" max="6" width="14" customWidth="1"/>
    <col min="7" max="7" width="9.83203125" customWidth="1"/>
    <col min="8" max="8" width="16.5" customWidth="1"/>
    <col min="10" max="10" width="10.1640625" bestFit="1" customWidth="1"/>
  </cols>
  <sheetData>
    <row r="1" spans="1:8" ht="98" customHeight="1">
      <c r="A1" s="112"/>
      <c r="B1" s="113"/>
      <c r="C1" s="113"/>
      <c r="D1" s="113"/>
      <c r="E1" s="113"/>
      <c r="F1" s="113"/>
      <c r="G1" s="113"/>
      <c r="H1" s="114"/>
    </row>
    <row r="2" spans="1:8" s="115" customFormat="1" ht="127" customHeight="1" thickBot="1">
      <c r="A2" s="117"/>
      <c r="B2" s="116"/>
      <c r="C2" s="116"/>
      <c r="D2" s="116"/>
      <c r="E2" s="116"/>
      <c r="F2" s="116"/>
      <c r="G2" s="116"/>
      <c r="H2" s="118"/>
    </row>
    <row r="3" spans="1:8" s="115" customFormat="1" ht="30" customHeight="1" thickTop="1" thickBot="1">
      <c r="A3" s="128" t="s">
        <v>0</v>
      </c>
      <c r="B3" s="129"/>
      <c r="C3" s="132" t="s">
        <v>90</v>
      </c>
      <c r="D3" s="133"/>
      <c r="E3" s="134"/>
      <c r="F3" s="135" t="s">
        <v>91</v>
      </c>
      <c r="G3" s="136"/>
      <c r="H3" s="137"/>
    </row>
    <row r="4" spans="1:8" ht="17" customHeight="1" thickTop="1" thickBot="1">
      <c r="A4" s="130"/>
      <c r="B4" s="131"/>
      <c r="C4" s="127" t="s">
        <v>1</v>
      </c>
      <c r="D4" s="125" t="s">
        <v>2</v>
      </c>
      <c r="E4" s="126" t="s">
        <v>3</v>
      </c>
      <c r="F4" s="122" t="s">
        <v>1</v>
      </c>
      <c r="G4" s="123" t="s">
        <v>2</v>
      </c>
      <c r="H4" s="124" t="s">
        <v>3</v>
      </c>
    </row>
    <row r="5" spans="1:8" ht="16" thickTop="1">
      <c r="A5" s="56">
        <v>1</v>
      </c>
      <c r="B5" s="57" t="s">
        <v>4</v>
      </c>
      <c r="C5" s="107"/>
      <c r="D5" s="108"/>
      <c r="E5" s="108"/>
      <c r="F5" s="119"/>
      <c r="G5" s="120"/>
      <c r="H5" s="121"/>
    </row>
    <row r="6" spans="1:8" ht="30">
      <c r="A6" s="1">
        <v>1.1000000000000001</v>
      </c>
      <c r="B6" s="2" t="s">
        <v>19</v>
      </c>
      <c r="C6" s="3"/>
      <c r="D6" s="4"/>
      <c r="E6" s="5">
        <f>PRODUCT(C6:D6)</f>
        <v>0</v>
      </c>
      <c r="F6" s="6">
        <f>105</f>
        <v>105</v>
      </c>
      <c r="G6" s="4">
        <f>1</f>
        <v>1</v>
      </c>
      <c r="H6" s="7">
        <f>PRODUCT(F6:G6)</f>
        <v>105</v>
      </c>
    </row>
    <row r="7" spans="1:8" ht="30">
      <c r="A7" s="8">
        <v>1.2</v>
      </c>
      <c r="B7" s="9" t="s">
        <v>15</v>
      </c>
      <c r="C7" s="3"/>
      <c r="D7" s="4"/>
      <c r="E7" s="5">
        <f t="shared" ref="E7:E11" si="0">PRODUCT(C7:D7)</f>
        <v>0</v>
      </c>
      <c r="F7" s="6">
        <f>136</f>
        <v>136</v>
      </c>
      <c r="G7" s="4">
        <f>1</f>
        <v>1</v>
      </c>
      <c r="H7" s="7">
        <f t="shared" ref="H7:H11" si="1">PRODUCT(F7:G7)</f>
        <v>136</v>
      </c>
    </row>
    <row r="8" spans="1:8" ht="30">
      <c r="A8" s="8">
        <v>1.3</v>
      </c>
      <c r="B8" s="9" t="s">
        <v>16</v>
      </c>
      <c r="C8" s="3"/>
      <c r="D8" s="4"/>
      <c r="E8" s="5">
        <f t="shared" si="0"/>
        <v>0</v>
      </c>
      <c r="F8" s="6">
        <f>159</f>
        <v>159</v>
      </c>
      <c r="G8" s="4">
        <f>1</f>
        <v>1</v>
      </c>
      <c r="H8" s="7">
        <f t="shared" si="1"/>
        <v>159</v>
      </c>
    </row>
    <row r="9" spans="1:8" ht="30">
      <c r="A9" s="10">
        <v>1.4</v>
      </c>
      <c r="B9" s="11" t="s">
        <v>17</v>
      </c>
      <c r="C9" s="12"/>
      <c r="D9" s="13"/>
      <c r="E9" s="5">
        <f t="shared" si="0"/>
        <v>0</v>
      </c>
      <c r="F9" s="14">
        <f>136</f>
        <v>136</v>
      </c>
      <c r="G9" s="4">
        <f>1</f>
        <v>1</v>
      </c>
      <c r="H9" s="7">
        <f t="shared" si="1"/>
        <v>136</v>
      </c>
    </row>
    <row r="10" spans="1:8" ht="30">
      <c r="A10" s="10">
        <v>1.5</v>
      </c>
      <c r="B10" s="11" t="s">
        <v>18</v>
      </c>
      <c r="C10" s="12"/>
      <c r="D10" s="13"/>
      <c r="E10" s="5">
        <f t="shared" si="0"/>
        <v>0</v>
      </c>
      <c r="F10" s="14">
        <f>105</f>
        <v>105</v>
      </c>
      <c r="G10" s="4">
        <f>1</f>
        <v>1</v>
      </c>
      <c r="H10" s="7">
        <f t="shared" si="1"/>
        <v>105</v>
      </c>
    </row>
    <row r="11" spans="1:8" ht="30">
      <c r="A11" s="10">
        <v>1.6</v>
      </c>
      <c r="B11" s="11" t="s">
        <v>20</v>
      </c>
      <c r="C11" s="12"/>
      <c r="D11" s="13"/>
      <c r="E11" s="5">
        <f t="shared" si="0"/>
        <v>0</v>
      </c>
      <c r="F11" s="14">
        <f>105</f>
        <v>105</v>
      </c>
      <c r="G11" s="4">
        <f>1</f>
        <v>1</v>
      </c>
      <c r="H11" s="7">
        <f t="shared" si="1"/>
        <v>105</v>
      </c>
    </row>
    <row r="12" spans="1:8" ht="16" thickBot="1">
      <c r="A12" s="15"/>
      <c r="B12" s="16" t="s">
        <v>5</v>
      </c>
      <c r="C12" s="17"/>
      <c r="D12" s="18"/>
      <c r="E12" s="19">
        <f>SUM(E6:E11)</f>
        <v>0</v>
      </c>
      <c r="F12" s="17"/>
      <c r="G12" s="18"/>
      <c r="H12" s="20">
        <f>SUM(H6:H11)</f>
        <v>746</v>
      </c>
    </row>
    <row r="13" spans="1:8" ht="16" thickTop="1">
      <c r="A13" s="57">
        <v>2</v>
      </c>
      <c r="B13" s="57" t="s">
        <v>6</v>
      </c>
      <c r="C13" s="109"/>
      <c r="D13" s="110"/>
      <c r="E13" s="111"/>
      <c r="F13" s="109"/>
      <c r="G13" s="110"/>
      <c r="H13" s="111"/>
    </row>
    <row r="14" spans="1:8" ht="30">
      <c r="A14" s="8">
        <v>2.1</v>
      </c>
      <c r="B14" s="9" t="s">
        <v>21</v>
      </c>
      <c r="C14" s="6">
        <f>64.75</f>
        <v>64.75</v>
      </c>
      <c r="D14" s="4">
        <f>12</f>
        <v>12</v>
      </c>
      <c r="E14" s="5">
        <f>PRODUCT(C14:D14)</f>
        <v>777</v>
      </c>
      <c r="F14" s="6"/>
      <c r="G14" s="4"/>
      <c r="H14" s="7">
        <f>PRODUCT(F14:G14)</f>
        <v>0</v>
      </c>
    </row>
    <row r="15" spans="1:8" ht="15">
      <c r="A15" s="8">
        <v>2.2000000000000002</v>
      </c>
      <c r="B15" s="9" t="s">
        <v>22</v>
      </c>
      <c r="C15" s="6"/>
      <c r="D15" s="4"/>
      <c r="E15" s="5">
        <f t="shared" ref="E15:E18" si="2">PRODUCT(C15:D15)</f>
        <v>0</v>
      </c>
      <c r="F15" s="6">
        <f>1.82</f>
        <v>1.82</v>
      </c>
      <c r="G15" s="4">
        <f>500</f>
        <v>500</v>
      </c>
      <c r="H15" s="7">
        <f t="shared" ref="H15:H18" si="3">PRODUCT(F15:G15)</f>
        <v>910</v>
      </c>
    </row>
    <row r="16" spans="1:8" ht="45">
      <c r="A16" s="8">
        <v>2.2999999999999998</v>
      </c>
      <c r="B16" s="9" t="s">
        <v>25</v>
      </c>
      <c r="C16" s="6"/>
      <c r="D16" s="4"/>
      <c r="E16" s="5">
        <f t="shared" si="2"/>
        <v>0</v>
      </c>
      <c r="F16" s="6">
        <f>1.55</f>
        <v>1.55</v>
      </c>
      <c r="G16" s="4">
        <f>55</f>
        <v>55</v>
      </c>
      <c r="H16" s="7">
        <f t="shared" si="3"/>
        <v>85.25</v>
      </c>
    </row>
    <row r="17" spans="1:8" ht="15">
      <c r="A17" s="8">
        <v>2.4</v>
      </c>
      <c r="B17" s="64" t="s">
        <v>26</v>
      </c>
      <c r="C17" s="6"/>
      <c r="D17" s="4"/>
      <c r="E17" s="5">
        <f t="shared" si="2"/>
        <v>0</v>
      </c>
      <c r="F17" s="6">
        <f>10</f>
        <v>10</v>
      </c>
      <c r="G17" s="4">
        <f>12</f>
        <v>12</v>
      </c>
      <c r="H17" s="7">
        <f t="shared" si="3"/>
        <v>120</v>
      </c>
    </row>
    <row r="18" spans="1:8" ht="15">
      <c r="A18" s="8">
        <v>2.5</v>
      </c>
      <c r="B18" s="9" t="s">
        <v>27</v>
      </c>
      <c r="C18" s="6"/>
      <c r="D18" s="4"/>
      <c r="E18" s="5">
        <f t="shared" si="2"/>
        <v>0</v>
      </c>
      <c r="F18" s="6">
        <f>35</f>
        <v>35</v>
      </c>
      <c r="G18" s="4">
        <f>12</f>
        <v>12</v>
      </c>
      <c r="H18" s="7">
        <f t="shared" si="3"/>
        <v>420</v>
      </c>
    </row>
    <row r="19" spans="1:8" ht="16" thickBot="1">
      <c r="A19" s="21"/>
      <c r="B19" s="22" t="s">
        <v>5</v>
      </c>
      <c r="C19" s="23"/>
      <c r="D19" s="18"/>
      <c r="E19" s="19">
        <f>SUM(E14:E18)</f>
        <v>777</v>
      </c>
      <c r="F19" s="24"/>
      <c r="G19" s="18"/>
      <c r="H19" s="20">
        <f>SUM(H14:H18)</f>
        <v>1535.25</v>
      </c>
    </row>
    <row r="20" spans="1:8" ht="16" thickTop="1">
      <c r="A20" s="58">
        <v>3</v>
      </c>
      <c r="B20" s="59" t="s">
        <v>7</v>
      </c>
      <c r="C20" s="88"/>
      <c r="D20" s="89"/>
      <c r="E20" s="89"/>
      <c r="F20" s="88"/>
      <c r="G20" s="89"/>
      <c r="H20" s="90"/>
    </row>
    <row r="21" spans="1:8" ht="45">
      <c r="A21" s="25">
        <v>3.1</v>
      </c>
      <c r="B21" s="69" t="s">
        <v>34</v>
      </c>
      <c r="C21" s="26">
        <f>22.5</f>
        <v>22.5</v>
      </c>
      <c r="D21" s="27">
        <f>4</f>
        <v>4</v>
      </c>
      <c r="E21" s="5">
        <f t="shared" ref="E21:E22" si="4">PRODUCT(C21:D21)</f>
        <v>90</v>
      </c>
      <c r="F21" s="26"/>
      <c r="G21" s="27"/>
      <c r="H21" s="7">
        <f t="shared" ref="H21:H22" si="5">PRODUCT(F21:G21)</f>
        <v>0</v>
      </c>
    </row>
    <row r="22" spans="1:8" ht="45">
      <c r="A22" s="25">
        <v>3.2</v>
      </c>
      <c r="B22" s="66" t="s">
        <v>36</v>
      </c>
      <c r="C22" s="26">
        <f>22.5</f>
        <v>22.5</v>
      </c>
      <c r="D22" s="27">
        <f>4</f>
        <v>4</v>
      </c>
      <c r="E22" s="5">
        <f t="shared" si="4"/>
        <v>90</v>
      </c>
      <c r="F22" s="26"/>
      <c r="G22" s="27"/>
      <c r="H22" s="7">
        <f t="shared" si="5"/>
        <v>0</v>
      </c>
    </row>
    <row r="23" spans="1:8" ht="16" thickBot="1">
      <c r="A23" s="28"/>
      <c r="B23" s="29" t="s">
        <v>5</v>
      </c>
      <c r="C23" s="30"/>
      <c r="D23" s="31"/>
      <c r="E23" s="19">
        <f>SUM(E21:E22)</f>
        <v>180</v>
      </c>
      <c r="F23" s="30"/>
      <c r="G23" s="31"/>
      <c r="H23" s="20">
        <f>SUM(H21:H22)</f>
        <v>0</v>
      </c>
    </row>
    <row r="24" spans="1:8" ht="16" thickTop="1">
      <c r="A24" s="62">
        <v>4</v>
      </c>
      <c r="B24" s="60" t="s">
        <v>8</v>
      </c>
      <c r="C24" s="97"/>
      <c r="D24" s="98"/>
      <c r="E24" s="98"/>
      <c r="F24" s="99"/>
      <c r="G24" s="98"/>
      <c r="H24" s="100"/>
    </row>
    <row r="25" spans="1:8" ht="30">
      <c r="A25" s="32">
        <v>4.0999999999999996</v>
      </c>
      <c r="B25" s="65" t="s">
        <v>48</v>
      </c>
      <c r="C25" s="38">
        <f>105</f>
        <v>105</v>
      </c>
      <c r="D25" s="27">
        <f>4</f>
        <v>4</v>
      </c>
      <c r="E25" s="5">
        <f>PRODUCT(C25:D25)</f>
        <v>420</v>
      </c>
      <c r="F25" s="35"/>
      <c r="G25" s="36"/>
      <c r="H25" s="7">
        <f>PRODUCT(F25:G25)</f>
        <v>0</v>
      </c>
    </row>
    <row r="26" spans="1:8" ht="30">
      <c r="A26" s="32">
        <v>4.2</v>
      </c>
      <c r="B26" s="65" t="s">
        <v>86</v>
      </c>
      <c r="C26" s="34">
        <f>41</f>
        <v>41</v>
      </c>
      <c r="D26" s="27">
        <f>22</f>
        <v>22</v>
      </c>
      <c r="E26" s="5">
        <f t="shared" ref="E26:E31" si="6">PRODUCT(C26:D26)</f>
        <v>902</v>
      </c>
      <c r="F26" s="35"/>
      <c r="G26" s="36"/>
      <c r="H26" s="7">
        <f t="shared" ref="H26:H31" si="7">PRODUCT(F26:G26)</f>
        <v>0</v>
      </c>
    </row>
    <row r="27" spans="1:8" ht="45">
      <c r="A27" s="32">
        <v>4.3</v>
      </c>
      <c r="B27" s="65" t="s">
        <v>89</v>
      </c>
      <c r="C27" s="34">
        <f>100</f>
        <v>100</v>
      </c>
      <c r="D27" s="27">
        <f>3</f>
        <v>3</v>
      </c>
      <c r="E27" s="5">
        <f t="shared" si="6"/>
        <v>300</v>
      </c>
      <c r="F27" s="26">
        <f>50</f>
        <v>50</v>
      </c>
      <c r="G27" s="27">
        <f>3</f>
        <v>3</v>
      </c>
      <c r="H27" s="7">
        <f t="shared" si="7"/>
        <v>150</v>
      </c>
    </row>
    <row r="28" spans="1:8" ht="45">
      <c r="A28" s="32">
        <v>4.4000000000000004</v>
      </c>
      <c r="B28" s="65" t="s">
        <v>87</v>
      </c>
      <c r="C28" s="34">
        <f>100</f>
        <v>100</v>
      </c>
      <c r="D28" s="27">
        <f>3</f>
        <v>3</v>
      </c>
      <c r="E28" s="5">
        <f t="shared" si="6"/>
        <v>300</v>
      </c>
      <c r="F28" s="26">
        <f>50</f>
        <v>50</v>
      </c>
      <c r="G28" s="27">
        <f>3</f>
        <v>3</v>
      </c>
      <c r="H28" s="7">
        <f t="shared" si="7"/>
        <v>150</v>
      </c>
    </row>
    <row r="29" spans="1:8" ht="60">
      <c r="A29" s="32">
        <v>4.5</v>
      </c>
      <c r="B29" s="65" t="s">
        <v>88</v>
      </c>
      <c r="C29" s="34">
        <f>100</f>
        <v>100</v>
      </c>
      <c r="D29" s="27">
        <f>3</f>
        <v>3</v>
      </c>
      <c r="E29" s="5">
        <f t="shared" ref="E29" si="8">PRODUCT(C29:D29)</f>
        <v>300</v>
      </c>
      <c r="F29" s="26">
        <f>50</f>
        <v>50</v>
      </c>
      <c r="G29" s="27">
        <f>3</f>
        <v>3</v>
      </c>
      <c r="H29" s="7">
        <f t="shared" ref="H29" si="9">PRODUCT(F29:G29)</f>
        <v>150</v>
      </c>
    </row>
    <row r="30" spans="1:8" ht="15">
      <c r="A30" s="32">
        <v>4.5999999999999996</v>
      </c>
      <c r="B30" s="33" t="s">
        <v>50</v>
      </c>
      <c r="C30" s="34"/>
      <c r="D30" s="27"/>
      <c r="E30" s="5">
        <f t="shared" si="6"/>
        <v>0</v>
      </c>
      <c r="F30" s="26">
        <f>363.66</f>
        <v>363.66</v>
      </c>
      <c r="G30" s="27">
        <f>12</f>
        <v>12</v>
      </c>
      <c r="H30" s="7">
        <f t="shared" si="7"/>
        <v>4363.92</v>
      </c>
    </row>
    <row r="31" spans="1:8" ht="15">
      <c r="A31" s="32">
        <v>4.7</v>
      </c>
      <c r="B31" s="33" t="s">
        <v>51</v>
      </c>
      <c r="C31" s="34"/>
      <c r="D31" s="27"/>
      <c r="E31" s="5">
        <f t="shared" si="6"/>
        <v>0</v>
      </c>
      <c r="F31" s="26">
        <f>318.16</f>
        <v>318.16000000000003</v>
      </c>
      <c r="G31" s="27">
        <f>12</f>
        <v>12</v>
      </c>
      <c r="H31" s="7">
        <f t="shared" si="7"/>
        <v>3817.92</v>
      </c>
    </row>
    <row r="32" spans="1:8" ht="16" thickBot="1">
      <c r="A32" s="15"/>
      <c r="B32" s="16" t="s">
        <v>5</v>
      </c>
      <c r="C32" s="24"/>
      <c r="D32" s="18"/>
      <c r="E32" s="19">
        <f>SUM(E25:E31)</f>
        <v>2222</v>
      </c>
      <c r="F32" s="24"/>
      <c r="G32" s="37"/>
      <c r="H32" s="20">
        <f>SUM(H25:H31)</f>
        <v>8631.84</v>
      </c>
    </row>
    <row r="33" spans="1:8" ht="16" thickTop="1">
      <c r="A33" s="61">
        <v>5</v>
      </c>
      <c r="B33" s="59" t="s">
        <v>9</v>
      </c>
      <c r="C33" s="88"/>
      <c r="D33" s="89"/>
      <c r="E33" s="89"/>
      <c r="F33" s="101"/>
      <c r="G33" s="102"/>
      <c r="H33" s="103"/>
    </row>
    <row r="34" spans="1:8" ht="45">
      <c r="A34" s="8">
        <v>5.0999999999999996</v>
      </c>
      <c r="B34" s="65" t="s">
        <v>41</v>
      </c>
      <c r="C34" s="38">
        <f>64</f>
        <v>64</v>
      </c>
      <c r="D34" s="4">
        <f>4</f>
        <v>4</v>
      </c>
      <c r="E34" s="5">
        <f>PRODUCT(C34:D34)</f>
        <v>256</v>
      </c>
      <c r="F34" s="6"/>
      <c r="G34" s="4"/>
      <c r="H34" s="7">
        <f>PRODUCT(F34:G34)</f>
        <v>0</v>
      </c>
    </row>
    <row r="35" spans="1:8" ht="45">
      <c r="A35" s="8">
        <v>5.2</v>
      </c>
      <c r="B35" s="65" t="s">
        <v>42</v>
      </c>
      <c r="C35" s="38">
        <f>64</f>
        <v>64</v>
      </c>
      <c r="D35" s="4">
        <f>8</f>
        <v>8</v>
      </c>
      <c r="E35" s="5">
        <f t="shared" ref="E35:E36" si="10">PRODUCT(C35:D35)</f>
        <v>512</v>
      </c>
      <c r="F35" s="6"/>
      <c r="G35" s="4"/>
      <c r="H35" s="7">
        <f t="shared" ref="H35:H36" si="11">PRODUCT(F35:G35)</f>
        <v>0</v>
      </c>
    </row>
    <row r="36" spans="1:8" ht="15">
      <c r="A36" s="8">
        <v>5.3</v>
      </c>
      <c r="B36" s="82" t="s">
        <v>47</v>
      </c>
      <c r="C36" s="38">
        <f>295.42</f>
        <v>295.42</v>
      </c>
      <c r="D36" s="4">
        <f>12</f>
        <v>12</v>
      </c>
      <c r="E36" s="5">
        <f t="shared" si="10"/>
        <v>3545.04</v>
      </c>
      <c r="F36" s="6"/>
      <c r="G36" s="4"/>
      <c r="H36" s="7">
        <f t="shared" si="11"/>
        <v>0</v>
      </c>
    </row>
    <row r="37" spans="1:8" ht="30">
      <c r="A37" s="25">
        <v>5.4</v>
      </c>
      <c r="B37" s="68" t="s">
        <v>24</v>
      </c>
      <c r="C37" s="26">
        <f>1.3</f>
        <v>1.3</v>
      </c>
      <c r="D37" s="27">
        <f>55</f>
        <v>55</v>
      </c>
      <c r="E37" s="5">
        <f>PRODUCT(C37:D37)</f>
        <v>71.5</v>
      </c>
      <c r="F37" s="26"/>
      <c r="G37" s="27"/>
      <c r="H37" s="7">
        <f>PRODUCT(F37:G37)</f>
        <v>0</v>
      </c>
    </row>
    <row r="38" spans="1:8" ht="30">
      <c r="A38" s="25">
        <v>5.5</v>
      </c>
      <c r="B38" s="69" t="s">
        <v>33</v>
      </c>
      <c r="C38" s="26">
        <f>1.31</f>
        <v>1.31</v>
      </c>
      <c r="D38" s="27">
        <f>150</f>
        <v>150</v>
      </c>
      <c r="E38" s="5">
        <f t="shared" ref="E38:E44" si="12">PRODUCT(C38:D38)</f>
        <v>196.5</v>
      </c>
      <c r="F38" s="26"/>
      <c r="G38" s="27"/>
      <c r="H38" s="7">
        <f t="shared" ref="H38:H43" si="13">PRODUCT(F38:G38)</f>
        <v>0</v>
      </c>
    </row>
    <row r="39" spans="1:8" ht="30">
      <c r="A39" s="25">
        <v>5.6</v>
      </c>
      <c r="B39" s="70" t="s">
        <v>35</v>
      </c>
      <c r="C39" s="26">
        <f>1.31</f>
        <v>1.31</v>
      </c>
      <c r="D39" s="27">
        <f>100</f>
        <v>100</v>
      </c>
      <c r="E39" s="5">
        <f t="shared" si="12"/>
        <v>131</v>
      </c>
      <c r="F39" s="26"/>
      <c r="G39" s="27"/>
      <c r="H39" s="7">
        <f t="shared" si="13"/>
        <v>0</v>
      </c>
    </row>
    <row r="40" spans="1:8" ht="30">
      <c r="A40" s="25">
        <v>5.7</v>
      </c>
      <c r="B40" s="66" t="s">
        <v>37</v>
      </c>
      <c r="C40" s="26">
        <f>1.3</f>
        <v>1.3</v>
      </c>
      <c r="D40" s="27">
        <f>75</f>
        <v>75</v>
      </c>
      <c r="E40" s="5">
        <f t="shared" si="12"/>
        <v>97.5</v>
      </c>
      <c r="F40" s="26"/>
      <c r="G40" s="27"/>
      <c r="H40" s="7">
        <f t="shared" si="13"/>
        <v>0</v>
      </c>
    </row>
    <row r="41" spans="1:8" ht="30">
      <c r="A41" s="25">
        <v>5.8</v>
      </c>
      <c r="B41" s="67" t="s">
        <v>38</v>
      </c>
      <c r="C41" s="26">
        <f>1.3</f>
        <v>1.3</v>
      </c>
      <c r="D41" s="27">
        <f>60</f>
        <v>60</v>
      </c>
      <c r="E41" s="5">
        <f t="shared" si="12"/>
        <v>78</v>
      </c>
      <c r="F41" s="26"/>
      <c r="G41" s="27"/>
      <c r="H41" s="7">
        <f t="shared" si="13"/>
        <v>0</v>
      </c>
    </row>
    <row r="42" spans="1:8" ht="30">
      <c r="A42" s="25">
        <v>5.9</v>
      </c>
      <c r="B42" s="71" t="s">
        <v>39</v>
      </c>
      <c r="C42" s="26">
        <f>1.3</f>
        <v>1.3</v>
      </c>
      <c r="D42" s="27">
        <f>80</f>
        <v>80</v>
      </c>
      <c r="E42" s="5">
        <f t="shared" si="12"/>
        <v>104</v>
      </c>
      <c r="F42" s="26"/>
      <c r="G42" s="27"/>
      <c r="H42" s="7">
        <f t="shared" si="13"/>
        <v>0</v>
      </c>
    </row>
    <row r="43" spans="1:8" ht="30">
      <c r="A43" s="86">
        <v>6.1</v>
      </c>
      <c r="B43" s="71" t="s">
        <v>40</v>
      </c>
      <c r="C43" s="26">
        <f>10.45</f>
        <v>10.45</v>
      </c>
      <c r="D43" s="27">
        <f>80</f>
        <v>80</v>
      </c>
      <c r="E43" s="5">
        <f t="shared" si="12"/>
        <v>836</v>
      </c>
      <c r="F43" s="26"/>
      <c r="G43" s="27"/>
      <c r="H43" s="7">
        <f t="shared" si="13"/>
        <v>0</v>
      </c>
    </row>
    <row r="44" spans="1:8" ht="30">
      <c r="A44" s="81">
        <v>6.11</v>
      </c>
      <c r="B44" s="80" t="s">
        <v>49</v>
      </c>
      <c r="C44" s="77">
        <f>10.45</f>
        <v>10.45</v>
      </c>
      <c r="D44" s="78">
        <f>80</f>
        <v>80</v>
      </c>
      <c r="E44" s="5">
        <f t="shared" si="12"/>
        <v>836</v>
      </c>
      <c r="F44" s="77"/>
      <c r="G44" s="78"/>
      <c r="H44" s="79"/>
    </row>
    <row r="45" spans="1:8" ht="16" thickBot="1">
      <c r="A45" s="15"/>
      <c r="B45" s="40" t="s">
        <v>5</v>
      </c>
      <c r="C45" s="24"/>
      <c r="D45" s="18"/>
      <c r="E45" s="19">
        <f>SUM(E34:E44)</f>
        <v>6663.54</v>
      </c>
      <c r="F45" s="24"/>
      <c r="G45" s="18"/>
      <c r="H45" s="20">
        <f>SUM(H34:H42)</f>
        <v>0</v>
      </c>
    </row>
    <row r="46" spans="1:8" ht="16" thickTop="1">
      <c r="A46" s="62">
        <v>6</v>
      </c>
      <c r="B46" s="59" t="s">
        <v>10</v>
      </c>
      <c r="C46" s="99"/>
      <c r="D46" s="98"/>
      <c r="E46" s="98"/>
      <c r="F46" s="99"/>
      <c r="G46" s="98"/>
      <c r="H46" s="100"/>
    </row>
    <row r="47" spans="1:8" ht="45">
      <c r="A47" s="32">
        <v>6.1</v>
      </c>
      <c r="B47" s="2" t="s">
        <v>23</v>
      </c>
      <c r="C47" s="26">
        <f>7.84</f>
        <v>7.84</v>
      </c>
      <c r="D47" s="27">
        <f>30</f>
        <v>30</v>
      </c>
      <c r="E47" s="5">
        <f>PRODUCT(C47:D47)</f>
        <v>235.2</v>
      </c>
      <c r="F47" s="26"/>
      <c r="G47" s="27"/>
      <c r="H47" s="7">
        <f>PRODUCT(F47:G47)</f>
        <v>0</v>
      </c>
    </row>
    <row r="48" spans="1:8" ht="45">
      <c r="A48" s="32">
        <v>6.2</v>
      </c>
      <c r="B48" s="2" t="s">
        <v>28</v>
      </c>
      <c r="C48" s="26">
        <f>7.84</f>
        <v>7.84</v>
      </c>
      <c r="D48" s="27">
        <f>100</f>
        <v>100</v>
      </c>
      <c r="E48" s="5">
        <f t="shared" ref="E48:E54" si="14">PRODUCT(C48:D48)</f>
        <v>784</v>
      </c>
      <c r="F48" s="26"/>
      <c r="G48" s="27"/>
      <c r="H48" s="7">
        <f t="shared" ref="H48:H54" si="15">PRODUCT(F48:G48)</f>
        <v>0</v>
      </c>
    </row>
    <row r="49" spans="1:8" ht="45">
      <c r="A49" s="32">
        <v>6.3</v>
      </c>
      <c r="B49" s="2" t="s">
        <v>29</v>
      </c>
      <c r="C49" s="26">
        <f>7.84</f>
        <v>7.84</v>
      </c>
      <c r="D49" s="27">
        <f>75</f>
        <v>75</v>
      </c>
      <c r="E49" s="5">
        <f t="shared" si="14"/>
        <v>588</v>
      </c>
      <c r="F49" s="26"/>
      <c r="G49" s="27"/>
      <c r="H49" s="7">
        <f t="shared" si="15"/>
        <v>0</v>
      </c>
    </row>
    <row r="50" spans="1:8" ht="45">
      <c r="A50" s="32">
        <v>6.4</v>
      </c>
      <c r="B50" s="2" t="s">
        <v>84</v>
      </c>
      <c r="C50" s="26">
        <f>209</f>
        <v>209</v>
      </c>
      <c r="D50" s="27">
        <f>2</f>
        <v>2</v>
      </c>
      <c r="E50" s="5">
        <f t="shared" si="14"/>
        <v>418</v>
      </c>
      <c r="F50" s="26"/>
      <c r="G50" s="27"/>
      <c r="H50" s="7">
        <f t="shared" si="15"/>
        <v>0</v>
      </c>
    </row>
    <row r="51" spans="1:8" ht="45">
      <c r="A51" s="32">
        <v>6.5</v>
      </c>
      <c r="B51" s="65" t="s">
        <v>30</v>
      </c>
      <c r="C51" s="26">
        <f>7.84</f>
        <v>7.84</v>
      </c>
      <c r="D51" s="27">
        <f>50</f>
        <v>50</v>
      </c>
      <c r="E51" s="5">
        <f t="shared" si="14"/>
        <v>392</v>
      </c>
      <c r="F51" s="26"/>
      <c r="G51" s="27"/>
      <c r="H51" s="7">
        <f t="shared" si="15"/>
        <v>0</v>
      </c>
    </row>
    <row r="52" spans="1:8" ht="45">
      <c r="A52" s="32">
        <v>6.6</v>
      </c>
      <c r="B52" s="66" t="s">
        <v>85</v>
      </c>
      <c r="C52" s="26">
        <f>163.5</f>
        <v>163.5</v>
      </c>
      <c r="D52" s="27">
        <f>2</f>
        <v>2</v>
      </c>
      <c r="E52" s="5">
        <f t="shared" si="14"/>
        <v>327</v>
      </c>
      <c r="F52" s="26"/>
      <c r="G52" s="27"/>
      <c r="H52" s="7">
        <f t="shared" si="15"/>
        <v>0</v>
      </c>
    </row>
    <row r="53" spans="1:8" ht="45">
      <c r="A53" s="32">
        <v>6.7</v>
      </c>
      <c r="B53" s="67" t="s">
        <v>31</v>
      </c>
      <c r="C53" s="26">
        <f>7.84</f>
        <v>7.84</v>
      </c>
      <c r="D53" s="27">
        <f>40</f>
        <v>40</v>
      </c>
      <c r="E53" s="5">
        <f t="shared" si="14"/>
        <v>313.60000000000002</v>
      </c>
      <c r="F53" s="26"/>
      <c r="G53" s="27"/>
      <c r="H53" s="7">
        <f t="shared" si="15"/>
        <v>0</v>
      </c>
    </row>
    <row r="54" spans="1:8" ht="45">
      <c r="A54" s="32">
        <v>6.8</v>
      </c>
      <c r="B54" s="39" t="s">
        <v>32</v>
      </c>
      <c r="C54" s="26">
        <f>7.84</f>
        <v>7.84</v>
      </c>
      <c r="D54" s="27">
        <f>55</f>
        <v>55</v>
      </c>
      <c r="E54" s="5">
        <f t="shared" si="14"/>
        <v>431.2</v>
      </c>
      <c r="F54" s="26"/>
      <c r="G54" s="27"/>
      <c r="H54" s="7">
        <f t="shared" si="15"/>
        <v>0</v>
      </c>
    </row>
    <row r="55" spans="1:8" ht="16" thickBot="1">
      <c r="A55" s="15"/>
      <c r="B55" s="22" t="s">
        <v>5</v>
      </c>
      <c r="C55" s="24"/>
      <c r="D55" s="18"/>
      <c r="E55" s="19">
        <f>SUM(E47:E54)</f>
        <v>3488.9999999999995</v>
      </c>
      <c r="F55" s="24"/>
      <c r="G55" s="18"/>
      <c r="H55" s="20">
        <f>SUM(H47:H54)</f>
        <v>0</v>
      </c>
    </row>
    <row r="56" spans="1:8" ht="16" thickTop="1">
      <c r="A56" s="61">
        <v>7</v>
      </c>
      <c r="B56" s="63" t="s">
        <v>11</v>
      </c>
      <c r="C56" s="104"/>
      <c r="D56" s="89"/>
      <c r="E56" s="89"/>
      <c r="F56" s="88"/>
      <c r="G56" s="89"/>
      <c r="H56" s="90"/>
    </row>
    <row r="57" spans="1:8" ht="15">
      <c r="A57" s="8">
        <v>7.1</v>
      </c>
      <c r="B57" s="33" t="s">
        <v>43</v>
      </c>
      <c r="C57" s="38"/>
      <c r="D57" s="4"/>
      <c r="E57" s="5">
        <f>PRODUCT(C57:D57)</f>
        <v>0</v>
      </c>
      <c r="F57" s="6">
        <f>874+41</f>
        <v>915</v>
      </c>
      <c r="G57" s="4">
        <f>1</f>
        <v>1</v>
      </c>
      <c r="H57" s="7">
        <f>PRODUCT(F57:G57)</f>
        <v>915</v>
      </c>
    </row>
    <row r="58" spans="1:8" ht="15">
      <c r="A58" s="1">
        <v>7.2</v>
      </c>
      <c r="B58" s="41" t="s">
        <v>44</v>
      </c>
      <c r="C58" s="42"/>
      <c r="D58" s="43"/>
      <c r="E58" s="5">
        <f t="shared" ref="E58:E71" si="16">PRODUCT(C58:D58)</f>
        <v>0</v>
      </c>
      <c r="F58" s="6">
        <f>86</f>
        <v>86</v>
      </c>
      <c r="G58" s="4">
        <f>1</f>
        <v>1</v>
      </c>
      <c r="H58" s="7">
        <f t="shared" ref="H58:H71" si="17">PRODUCT(F58:G58)</f>
        <v>86</v>
      </c>
    </row>
    <row r="59" spans="1:8" ht="15">
      <c r="A59" s="1">
        <v>7.3</v>
      </c>
      <c r="B59" s="41" t="s">
        <v>45</v>
      </c>
      <c r="C59" s="42"/>
      <c r="D59" s="43"/>
      <c r="E59" s="5">
        <f t="shared" si="16"/>
        <v>0</v>
      </c>
      <c r="F59" s="6">
        <f>318</f>
        <v>318</v>
      </c>
      <c r="G59" s="4">
        <f>1</f>
        <v>1</v>
      </c>
      <c r="H59" s="7">
        <f t="shared" si="17"/>
        <v>318</v>
      </c>
    </row>
    <row r="60" spans="1:8" ht="15">
      <c r="A60" s="1">
        <v>7.4</v>
      </c>
      <c r="B60" s="73" t="s">
        <v>46</v>
      </c>
      <c r="C60" s="42"/>
      <c r="D60" s="43"/>
      <c r="E60" s="5">
        <f t="shared" si="16"/>
        <v>0</v>
      </c>
      <c r="F60" s="6">
        <f>661.64</f>
        <v>661.64</v>
      </c>
      <c r="G60" s="4">
        <f>1</f>
        <v>1</v>
      </c>
      <c r="H60" s="7">
        <f t="shared" si="17"/>
        <v>661.64</v>
      </c>
    </row>
    <row r="61" spans="1:8" ht="15">
      <c r="A61" s="1">
        <v>7.5</v>
      </c>
      <c r="B61" s="74" t="s">
        <v>73</v>
      </c>
      <c r="C61" s="42">
        <f>2585</f>
        <v>2585</v>
      </c>
      <c r="D61" s="43">
        <f>1</f>
        <v>1</v>
      </c>
      <c r="E61" s="5">
        <f t="shared" si="16"/>
        <v>2585</v>
      </c>
      <c r="F61" s="6"/>
      <c r="G61" s="4"/>
      <c r="H61" s="7">
        <f t="shared" si="17"/>
        <v>0</v>
      </c>
    </row>
    <row r="62" spans="1:8" ht="15">
      <c r="A62" s="1">
        <v>7.6</v>
      </c>
      <c r="B62" s="75" t="s">
        <v>74</v>
      </c>
      <c r="C62" s="42">
        <f>26.12</f>
        <v>26.12</v>
      </c>
      <c r="D62" s="43">
        <f>2</f>
        <v>2</v>
      </c>
      <c r="E62" s="5">
        <f t="shared" si="16"/>
        <v>52.24</v>
      </c>
      <c r="F62" s="6"/>
      <c r="G62" s="4"/>
      <c r="H62" s="7">
        <f t="shared" si="17"/>
        <v>0</v>
      </c>
    </row>
    <row r="63" spans="1:8" ht="15">
      <c r="A63" s="1">
        <v>7.7</v>
      </c>
      <c r="B63" s="74" t="s">
        <v>75</v>
      </c>
      <c r="C63" s="42">
        <f>29.75</f>
        <v>29.75</v>
      </c>
      <c r="D63" s="43">
        <f>2</f>
        <v>2</v>
      </c>
      <c r="E63" s="5">
        <f t="shared" si="16"/>
        <v>59.5</v>
      </c>
      <c r="F63" s="44"/>
      <c r="G63" s="4"/>
      <c r="H63" s="7">
        <f t="shared" si="17"/>
        <v>0</v>
      </c>
    </row>
    <row r="64" spans="1:8" ht="15">
      <c r="A64" s="45">
        <v>7.8</v>
      </c>
      <c r="B64" s="74" t="s">
        <v>76</v>
      </c>
      <c r="C64" s="42">
        <f>107.1</f>
        <v>107.1</v>
      </c>
      <c r="D64" s="43">
        <f>1</f>
        <v>1</v>
      </c>
      <c r="E64" s="5">
        <f t="shared" si="16"/>
        <v>107.1</v>
      </c>
      <c r="F64" s="46"/>
      <c r="G64" s="4"/>
      <c r="H64" s="7">
        <f t="shared" si="17"/>
        <v>0</v>
      </c>
    </row>
    <row r="65" spans="1:8" ht="15">
      <c r="A65" s="45">
        <v>7.9</v>
      </c>
      <c r="B65" s="74" t="s">
        <v>77</v>
      </c>
      <c r="C65" s="42">
        <v>87.17</v>
      </c>
      <c r="D65" s="43">
        <f>4</f>
        <v>4</v>
      </c>
      <c r="E65" s="5">
        <f t="shared" si="16"/>
        <v>348.68</v>
      </c>
      <c r="F65" s="46"/>
      <c r="G65" s="4"/>
      <c r="H65" s="7">
        <f t="shared" si="17"/>
        <v>0</v>
      </c>
    </row>
    <row r="66" spans="1:8" ht="15">
      <c r="A66" s="84">
        <v>7.1</v>
      </c>
      <c r="B66" s="74" t="s">
        <v>78</v>
      </c>
      <c r="C66" s="42">
        <f>1162.63</f>
        <v>1162.6300000000001</v>
      </c>
      <c r="D66" s="43">
        <f>1</f>
        <v>1</v>
      </c>
      <c r="E66" s="5">
        <f t="shared" si="16"/>
        <v>1162.6300000000001</v>
      </c>
      <c r="F66" s="46"/>
      <c r="G66" s="4"/>
      <c r="H66" s="7">
        <f t="shared" si="17"/>
        <v>0</v>
      </c>
    </row>
    <row r="67" spans="1:8" ht="15">
      <c r="A67" s="72">
        <v>7.11</v>
      </c>
      <c r="B67" s="76" t="s">
        <v>79</v>
      </c>
      <c r="C67" s="42">
        <f>2737</f>
        <v>2737</v>
      </c>
      <c r="D67" s="43">
        <f>1</f>
        <v>1</v>
      </c>
      <c r="E67" s="5">
        <f t="shared" si="16"/>
        <v>2737</v>
      </c>
      <c r="F67" s="46"/>
      <c r="G67" s="4"/>
      <c r="H67" s="7">
        <f t="shared" si="17"/>
        <v>0</v>
      </c>
    </row>
    <row r="68" spans="1:8" ht="15">
      <c r="A68" s="45">
        <v>7.12</v>
      </c>
      <c r="B68" s="76" t="s">
        <v>80</v>
      </c>
      <c r="C68" s="42">
        <f>24.79</f>
        <v>24.79</v>
      </c>
      <c r="D68" s="43">
        <f>6</f>
        <v>6</v>
      </c>
      <c r="E68" s="5">
        <f t="shared" si="16"/>
        <v>148.74</v>
      </c>
      <c r="F68" s="46"/>
      <c r="G68" s="4"/>
      <c r="H68" s="7">
        <f t="shared" si="17"/>
        <v>0</v>
      </c>
    </row>
    <row r="69" spans="1:8" ht="15">
      <c r="A69" s="45">
        <v>7.13</v>
      </c>
      <c r="B69" s="74" t="s">
        <v>81</v>
      </c>
      <c r="C69" s="42">
        <f>236.81</f>
        <v>236.81</v>
      </c>
      <c r="D69" s="43">
        <f>2</f>
        <v>2</v>
      </c>
      <c r="E69" s="5">
        <f t="shared" si="16"/>
        <v>473.62</v>
      </c>
      <c r="F69" s="46"/>
      <c r="G69" s="4"/>
      <c r="H69" s="7">
        <f t="shared" si="17"/>
        <v>0</v>
      </c>
    </row>
    <row r="70" spans="1:8" ht="30">
      <c r="A70" s="45">
        <v>7.14</v>
      </c>
      <c r="B70" s="85" t="s">
        <v>82</v>
      </c>
      <c r="C70" s="42">
        <f>161.84</f>
        <v>161.84</v>
      </c>
      <c r="D70" s="43">
        <f>1</f>
        <v>1</v>
      </c>
      <c r="E70" s="5">
        <f t="shared" si="16"/>
        <v>161.84</v>
      </c>
      <c r="F70" s="46"/>
      <c r="G70" s="4"/>
      <c r="H70" s="7">
        <f t="shared" si="17"/>
        <v>0</v>
      </c>
    </row>
    <row r="71" spans="1:8" ht="15">
      <c r="A71" s="45">
        <v>7.15</v>
      </c>
      <c r="B71" s="74" t="s">
        <v>83</v>
      </c>
      <c r="C71" s="42">
        <f>161.84</f>
        <v>161.84</v>
      </c>
      <c r="D71" s="43">
        <f>1</f>
        <v>1</v>
      </c>
      <c r="E71" s="5">
        <f t="shared" si="16"/>
        <v>161.84</v>
      </c>
      <c r="F71" s="46"/>
      <c r="G71" s="4"/>
      <c r="H71" s="7">
        <f t="shared" si="17"/>
        <v>0</v>
      </c>
    </row>
    <row r="72" spans="1:8" ht="16" thickBot="1">
      <c r="A72" s="15"/>
      <c r="B72" s="40" t="s">
        <v>5</v>
      </c>
      <c r="C72" s="24"/>
      <c r="D72" s="18"/>
      <c r="E72" s="19">
        <f>SUM(E57:E71)</f>
        <v>7998.19</v>
      </c>
      <c r="F72" s="24"/>
      <c r="G72" s="18"/>
      <c r="H72" s="20">
        <f>SUM(H57:H71)</f>
        <v>1980.6399999999999</v>
      </c>
    </row>
    <row r="73" spans="1:8" ht="16" thickTop="1">
      <c r="A73" s="61">
        <v>8</v>
      </c>
      <c r="B73" s="59" t="s">
        <v>12</v>
      </c>
      <c r="C73" s="88"/>
      <c r="D73" s="89"/>
      <c r="E73" s="89"/>
      <c r="F73" s="88"/>
      <c r="G73" s="89"/>
      <c r="H73" s="90"/>
    </row>
    <row r="74" spans="1:8" ht="15">
      <c r="A74" s="8">
        <v>8.1</v>
      </c>
      <c r="B74" s="9" t="s">
        <v>52</v>
      </c>
      <c r="C74" s="6"/>
      <c r="D74" s="4"/>
      <c r="E74" s="5">
        <f>PRODUCT(C74:D74)</f>
        <v>0</v>
      </c>
      <c r="F74" s="6">
        <f>9.1</f>
        <v>9.1</v>
      </c>
      <c r="G74" s="4">
        <f>29</f>
        <v>29</v>
      </c>
      <c r="H74" s="7">
        <f>PRODUCT(F74:G74)</f>
        <v>263.89999999999998</v>
      </c>
    </row>
    <row r="75" spans="1:8" ht="45">
      <c r="A75" s="8">
        <v>8.1999999999999993</v>
      </c>
      <c r="B75" s="9" t="s">
        <v>53</v>
      </c>
      <c r="C75" s="6"/>
      <c r="D75" s="4"/>
      <c r="E75" s="5">
        <f t="shared" ref="E75:E95" si="18">PRODUCT(C75:D75)</f>
        <v>0</v>
      </c>
      <c r="F75" s="6">
        <f>20.4</f>
        <v>20.399999999999999</v>
      </c>
      <c r="G75" s="4">
        <f>104</f>
        <v>104</v>
      </c>
      <c r="H75" s="7">
        <f t="shared" ref="H75:H95" si="19">PRODUCT(F75:G75)</f>
        <v>2121.6</v>
      </c>
    </row>
    <row r="76" spans="1:8" ht="30">
      <c r="A76" s="8">
        <v>8.3000000000000007</v>
      </c>
      <c r="B76" s="9" t="s">
        <v>54</v>
      </c>
      <c r="C76" s="6"/>
      <c r="D76" s="4"/>
      <c r="E76" s="5">
        <f t="shared" si="18"/>
        <v>0</v>
      </c>
      <c r="F76" s="6">
        <f>700.5</f>
        <v>700.5</v>
      </c>
      <c r="G76" s="4">
        <f>2</f>
        <v>2</v>
      </c>
      <c r="H76" s="7">
        <f t="shared" si="19"/>
        <v>1401</v>
      </c>
    </row>
    <row r="77" spans="1:8" ht="30">
      <c r="A77" s="8">
        <v>8.4</v>
      </c>
      <c r="B77" s="9" t="s">
        <v>55</v>
      </c>
      <c r="C77" s="6"/>
      <c r="D77" s="4"/>
      <c r="E77" s="5">
        <f t="shared" si="18"/>
        <v>0</v>
      </c>
      <c r="F77" s="6">
        <f>293.1</f>
        <v>293.10000000000002</v>
      </c>
      <c r="G77" s="4">
        <f>1</f>
        <v>1</v>
      </c>
      <c r="H77" s="7">
        <f t="shared" si="19"/>
        <v>293.10000000000002</v>
      </c>
    </row>
    <row r="78" spans="1:8" ht="30">
      <c r="A78" s="8">
        <v>8.5</v>
      </c>
      <c r="B78" s="9" t="s">
        <v>55</v>
      </c>
      <c r="C78" s="6"/>
      <c r="D78" s="4"/>
      <c r="E78" s="5">
        <f t="shared" si="18"/>
        <v>0</v>
      </c>
      <c r="F78" s="6">
        <f>26.9</f>
        <v>26.9</v>
      </c>
      <c r="G78" s="4">
        <f>14</f>
        <v>14</v>
      </c>
      <c r="H78" s="7">
        <f t="shared" si="19"/>
        <v>376.59999999999997</v>
      </c>
    </row>
    <row r="79" spans="1:8" ht="15">
      <c r="A79" s="8">
        <v>8.6</v>
      </c>
      <c r="B79" s="9" t="s">
        <v>56</v>
      </c>
      <c r="C79" s="6"/>
      <c r="D79" s="4"/>
      <c r="E79" s="5">
        <f t="shared" si="18"/>
        <v>0</v>
      </c>
      <c r="F79" s="6">
        <f>30.3</f>
        <v>30.3</v>
      </c>
      <c r="G79" s="4">
        <f>4</f>
        <v>4</v>
      </c>
      <c r="H79" s="7">
        <f t="shared" si="19"/>
        <v>121.2</v>
      </c>
    </row>
    <row r="80" spans="1:8" ht="30">
      <c r="A80" s="8">
        <v>8.6999999999999993</v>
      </c>
      <c r="B80" s="9" t="s">
        <v>57</v>
      </c>
      <c r="C80" s="6"/>
      <c r="D80" s="4"/>
      <c r="E80" s="5">
        <f t="shared" si="18"/>
        <v>0</v>
      </c>
      <c r="F80" s="6">
        <f>7</f>
        <v>7</v>
      </c>
      <c r="G80" s="4">
        <f>4</f>
        <v>4</v>
      </c>
      <c r="H80" s="7">
        <f t="shared" si="19"/>
        <v>28</v>
      </c>
    </row>
    <row r="81" spans="1:8" ht="15">
      <c r="A81" s="8">
        <v>8.8000000000000007</v>
      </c>
      <c r="B81" s="9" t="s">
        <v>58</v>
      </c>
      <c r="C81" s="6"/>
      <c r="D81" s="4"/>
      <c r="E81" s="5">
        <f t="shared" si="18"/>
        <v>0</v>
      </c>
      <c r="F81" s="6">
        <f>114</f>
        <v>114</v>
      </c>
      <c r="G81" s="4">
        <f>1</f>
        <v>1</v>
      </c>
      <c r="H81" s="7">
        <f t="shared" si="19"/>
        <v>114</v>
      </c>
    </row>
    <row r="82" spans="1:8" ht="15">
      <c r="A82" s="8">
        <v>8.9</v>
      </c>
      <c r="B82" s="9" t="s">
        <v>59</v>
      </c>
      <c r="C82" s="6"/>
      <c r="D82" s="4"/>
      <c r="E82" s="5">
        <f t="shared" si="18"/>
        <v>0</v>
      </c>
      <c r="F82" s="6">
        <f>67.75</f>
        <v>67.75</v>
      </c>
      <c r="G82" s="4">
        <f>4</f>
        <v>4</v>
      </c>
      <c r="H82" s="7">
        <f t="shared" si="19"/>
        <v>271</v>
      </c>
    </row>
    <row r="83" spans="1:8" ht="15">
      <c r="A83" s="83">
        <v>8.1</v>
      </c>
      <c r="B83" s="9" t="s">
        <v>60</v>
      </c>
      <c r="C83" s="14"/>
      <c r="D83" s="4"/>
      <c r="E83" s="5">
        <f t="shared" si="18"/>
        <v>0</v>
      </c>
      <c r="F83" s="14">
        <f>205</f>
        <v>205</v>
      </c>
      <c r="G83" s="4">
        <f>1</f>
        <v>1</v>
      </c>
      <c r="H83" s="7">
        <f t="shared" si="19"/>
        <v>205</v>
      </c>
    </row>
    <row r="84" spans="1:8" ht="15">
      <c r="A84" s="10">
        <v>8.11</v>
      </c>
      <c r="B84" s="9" t="s">
        <v>61</v>
      </c>
      <c r="C84" s="14"/>
      <c r="D84" s="4"/>
      <c r="E84" s="5">
        <f t="shared" si="18"/>
        <v>0</v>
      </c>
      <c r="F84" s="14">
        <f>29.5</f>
        <v>29.5</v>
      </c>
      <c r="G84" s="4">
        <f>4</f>
        <v>4</v>
      </c>
      <c r="H84" s="7">
        <f t="shared" si="19"/>
        <v>118</v>
      </c>
    </row>
    <row r="85" spans="1:8" ht="15">
      <c r="A85" s="10">
        <v>8.1199999999999992</v>
      </c>
      <c r="B85" s="9" t="s">
        <v>62</v>
      </c>
      <c r="C85" s="14"/>
      <c r="D85" s="4"/>
      <c r="E85" s="5">
        <f t="shared" si="18"/>
        <v>0</v>
      </c>
      <c r="F85" s="14">
        <f>18.3</f>
        <v>18.3</v>
      </c>
      <c r="G85" s="4">
        <f>3</f>
        <v>3</v>
      </c>
      <c r="H85" s="7">
        <f t="shared" si="19"/>
        <v>54.900000000000006</v>
      </c>
    </row>
    <row r="86" spans="1:8" ht="15">
      <c r="A86" s="10">
        <v>8.1300000000000008</v>
      </c>
      <c r="B86" s="9" t="s">
        <v>63</v>
      </c>
      <c r="C86" s="14"/>
      <c r="D86" s="4"/>
      <c r="E86" s="5">
        <f t="shared" si="18"/>
        <v>0</v>
      </c>
      <c r="F86" s="14">
        <f>113.5</f>
        <v>113.5</v>
      </c>
      <c r="G86" s="4">
        <f>2</f>
        <v>2</v>
      </c>
      <c r="H86" s="7">
        <f t="shared" si="19"/>
        <v>227</v>
      </c>
    </row>
    <row r="87" spans="1:8" ht="15">
      <c r="A87" s="10">
        <v>8.14</v>
      </c>
      <c r="B87" s="9" t="s">
        <v>64</v>
      </c>
      <c r="C87" s="14"/>
      <c r="D87" s="4"/>
      <c r="E87" s="5">
        <f t="shared" si="18"/>
        <v>0</v>
      </c>
      <c r="F87" s="14">
        <f>18</f>
        <v>18</v>
      </c>
      <c r="G87" s="4">
        <f>2</f>
        <v>2</v>
      </c>
      <c r="H87" s="7">
        <f t="shared" si="19"/>
        <v>36</v>
      </c>
    </row>
    <row r="88" spans="1:8" ht="15">
      <c r="A88" s="10">
        <v>8.15</v>
      </c>
      <c r="B88" s="9" t="s">
        <v>65</v>
      </c>
      <c r="C88" s="14">
        <f>572.5</f>
        <v>572.5</v>
      </c>
      <c r="D88" s="4">
        <f>2</f>
        <v>2</v>
      </c>
      <c r="E88" s="5">
        <f t="shared" si="18"/>
        <v>1145</v>
      </c>
      <c r="F88" s="14"/>
      <c r="G88" s="4"/>
      <c r="H88" s="7">
        <f t="shared" si="19"/>
        <v>0</v>
      </c>
    </row>
    <row r="89" spans="1:8" ht="15">
      <c r="A89" s="10">
        <v>8.16</v>
      </c>
      <c r="B89" s="9" t="s">
        <v>66</v>
      </c>
      <c r="C89" s="14"/>
      <c r="D89" s="4"/>
      <c r="E89" s="5">
        <f t="shared" si="18"/>
        <v>0</v>
      </c>
      <c r="F89" s="14">
        <f>136.1</f>
        <v>136.1</v>
      </c>
      <c r="G89" s="4">
        <f>1</f>
        <v>1</v>
      </c>
      <c r="H89" s="7">
        <f t="shared" si="19"/>
        <v>136.1</v>
      </c>
    </row>
    <row r="90" spans="1:8" ht="15">
      <c r="A90" s="10">
        <v>8.17</v>
      </c>
      <c r="B90" s="9" t="s">
        <v>67</v>
      </c>
      <c r="C90" s="14"/>
      <c r="D90" s="4"/>
      <c r="E90" s="5">
        <f t="shared" si="18"/>
        <v>0</v>
      </c>
      <c r="F90" s="14">
        <f>60</f>
        <v>60</v>
      </c>
      <c r="G90" s="4">
        <f>1</f>
        <v>1</v>
      </c>
      <c r="H90" s="7">
        <f t="shared" si="19"/>
        <v>60</v>
      </c>
    </row>
    <row r="91" spans="1:8" ht="15">
      <c r="A91" s="10">
        <v>8.18</v>
      </c>
      <c r="B91" s="9" t="s">
        <v>68</v>
      </c>
      <c r="C91" s="14"/>
      <c r="D91" s="4"/>
      <c r="E91" s="5">
        <f t="shared" si="18"/>
        <v>0</v>
      </c>
      <c r="F91" s="14">
        <f>12.1</f>
        <v>12.1</v>
      </c>
      <c r="G91" s="4">
        <f>12</f>
        <v>12</v>
      </c>
      <c r="H91" s="7">
        <f t="shared" si="19"/>
        <v>145.19999999999999</v>
      </c>
    </row>
    <row r="92" spans="1:8" ht="30">
      <c r="A92" s="10">
        <v>8.19</v>
      </c>
      <c r="B92" s="9" t="s">
        <v>69</v>
      </c>
      <c r="C92" s="14"/>
      <c r="D92" s="4"/>
      <c r="E92" s="5">
        <f t="shared" si="18"/>
        <v>0</v>
      </c>
      <c r="F92" s="14">
        <f>22.5</f>
        <v>22.5</v>
      </c>
      <c r="G92" s="4">
        <f>2</f>
        <v>2</v>
      </c>
      <c r="H92" s="7">
        <f t="shared" si="19"/>
        <v>45</v>
      </c>
    </row>
    <row r="93" spans="1:8" ht="15">
      <c r="A93" s="83">
        <v>8.1999999999999993</v>
      </c>
      <c r="B93" s="9" t="s">
        <v>70</v>
      </c>
      <c r="C93" s="14"/>
      <c r="D93" s="4"/>
      <c r="E93" s="5">
        <f t="shared" si="18"/>
        <v>0</v>
      </c>
      <c r="F93" s="14">
        <f>5.9</f>
        <v>5.9</v>
      </c>
      <c r="G93" s="4">
        <f>29</f>
        <v>29</v>
      </c>
      <c r="H93" s="7">
        <f t="shared" si="19"/>
        <v>171.10000000000002</v>
      </c>
    </row>
    <row r="94" spans="1:8" ht="15">
      <c r="A94" s="10">
        <v>8.2100000000000009</v>
      </c>
      <c r="B94" s="9" t="s">
        <v>71</v>
      </c>
      <c r="C94" s="14"/>
      <c r="D94" s="4"/>
      <c r="E94" s="5">
        <f t="shared" si="18"/>
        <v>0</v>
      </c>
      <c r="F94" s="14">
        <f>177</f>
        <v>177</v>
      </c>
      <c r="G94" s="4">
        <f>1</f>
        <v>1</v>
      </c>
      <c r="H94" s="7">
        <f t="shared" si="19"/>
        <v>177</v>
      </c>
    </row>
    <row r="95" spans="1:8" ht="15">
      <c r="A95" s="10">
        <v>8.2200000000000006</v>
      </c>
      <c r="B95" s="9" t="s">
        <v>72</v>
      </c>
      <c r="C95" s="14"/>
      <c r="D95" s="4"/>
      <c r="E95" s="5">
        <f t="shared" si="18"/>
        <v>0</v>
      </c>
      <c r="F95" s="14">
        <f>7</f>
        <v>7</v>
      </c>
      <c r="G95" s="4">
        <f>2</f>
        <v>2</v>
      </c>
      <c r="H95" s="7">
        <f t="shared" si="19"/>
        <v>14</v>
      </c>
    </row>
    <row r="96" spans="1:8" ht="16" thickBot="1">
      <c r="A96" s="47"/>
      <c r="B96" s="40" t="s">
        <v>5</v>
      </c>
      <c r="C96" s="48"/>
      <c r="D96" s="49"/>
      <c r="E96" s="19">
        <f>SUM(E74:E95)</f>
        <v>1145</v>
      </c>
      <c r="F96" s="48"/>
      <c r="G96" s="49"/>
      <c r="H96" s="20">
        <f>SUM(H74:H95)</f>
        <v>6379.7</v>
      </c>
    </row>
    <row r="97" spans="1:8" ht="18" thickTop="1" thickBot="1">
      <c r="A97" s="105" t="s">
        <v>13</v>
      </c>
      <c r="B97" s="106"/>
      <c r="C97" s="53"/>
      <c r="D97" s="54"/>
      <c r="E97" s="55">
        <f>E96+E72+E55+E45+E32+E23+E19+E12</f>
        <v>22474.73</v>
      </c>
      <c r="F97" s="50"/>
      <c r="G97" s="51"/>
      <c r="H97" s="52">
        <f>H96+H72+H55+H45+H32+H23+H19+H12</f>
        <v>19273.43</v>
      </c>
    </row>
    <row r="98" spans="1:8" ht="20" thickBot="1">
      <c r="A98" s="91" t="s">
        <v>14</v>
      </c>
      <c r="B98" s="92"/>
      <c r="C98" s="92"/>
      <c r="D98" s="93"/>
      <c r="E98" s="94">
        <f>E97+H97</f>
        <v>41748.160000000003</v>
      </c>
      <c r="F98" s="95"/>
      <c r="G98" s="95"/>
      <c r="H98" s="96"/>
    </row>
    <row r="105" spans="1:8">
      <c r="G105" s="87"/>
    </row>
  </sheetData>
  <sheetProtection insertColumns="0" insertRows="0" selectLockedCells="1"/>
  <mergeCells count="24">
    <mergeCell ref="C3:E3"/>
    <mergeCell ref="F3:H3"/>
    <mergeCell ref="A3:B4"/>
    <mergeCell ref="C5:E5"/>
    <mergeCell ref="F5:H5"/>
    <mergeCell ref="C13:E13"/>
    <mergeCell ref="F13:H13"/>
    <mergeCell ref="A1:H1"/>
    <mergeCell ref="A2:H2"/>
    <mergeCell ref="C20:E20"/>
    <mergeCell ref="F20:H20"/>
    <mergeCell ref="A98:D98"/>
    <mergeCell ref="E98:H98"/>
    <mergeCell ref="C24:E24"/>
    <mergeCell ref="F24:H24"/>
    <mergeCell ref="C33:E33"/>
    <mergeCell ref="F33:H33"/>
    <mergeCell ref="C46:E46"/>
    <mergeCell ref="F46:H46"/>
    <mergeCell ref="C56:E56"/>
    <mergeCell ref="F56:H56"/>
    <mergeCell ref="C73:E73"/>
    <mergeCell ref="F73:H73"/>
    <mergeCell ref="A97:B97"/>
  </mergeCells>
  <phoneticPr fontId="15" type="noConversion"/>
  <dataValidations count="1">
    <dataValidation allowBlank="1" showErrorMessage="1" sqref="B5:B12"/>
  </dataValidations>
  <pageMargins left="0.70000000000000007" right="0.70000000000000007" top="0.75000000000000011" bottom="0.75000000000000011" header="0.30000000000000004" footer="0.30000000000000004"/>
  <pageSetup scale="85" orientation="landscape"/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 S Department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The Lam DANG</cp:lastModifiedBy>
  <cp:lastPrinted>2017-03-29T09:03:45Z</cp:lastPrinted>
  <dcterms:created xsi:type="dcterms:W3CDTF">2017-02-16T19:40:55Z</dcterms:created>
  <dcterms:modified xsi:type="dcterms:W3CDTF">2017-04-26T08:11:13Z</dcterms:modified>
</cp:coreProperties>
</file>